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kanyama\ONEDRI~1\Desktop\2019_O~1\AGENDA~2\21463~1.3FI\"/>
    </mc:Choice>
  </mc:AlternateContent>
  <xr:revisionPtr revIDLastSave="0" documentId="13_ncr:1_{6171E329-2F31-417B-97BD-2A855751C1B4}" xr6:coauthVersionLast="41" xr6:coauthVersionMax="41" xr10:uidLastSave="{00000000-0000-0000-0000-000000000000}"/>
  <bookViews>
    <workbookView xWindow="-98" yWindow="-98" windowWidth="14595" windowHeight="9196" tabRatio="826" activeTab="1" xr2:uid="{3C526D86-EBE8-4CA1-9FC8-62EBAA31510A}"/>
  </bookViews>
  <sheets>
    <sheet name="List of Tables" sheetId="10" r:id="rId1"/>
    <sheet name="Table 1" sheetId="1" r:id="rId2"/>
    <sheet name="Table 2" sheetId="2" r:id="rId3"/>
    <sheet name="Table 3" sheetId="4" r:id="rId4"/>
    <sheet name="Table 4" sheetId="5" r:id="rId5"/>
    <sheet name="Table 5" sheetId="3" r:id="rId6"/>
    <sheet name="tmpscrapsheet" sheetId="9" state="hidden" r:id="rId7"/>
    <sheet name="Ls_AgXLB_WorkbookFile" sheetId="8" state="veryHidden" r:id="rId8"/>
    <sheet name="Tabl 6" sheetId="6" r:id="rId9"/>
  </sheets>
  <definedNames>
    <definedName name="_xlnm.Print_Area" localSheetId="8">'Tabl 6'!$B$1:$Q$24</definedName>
    <definedName name="_xlnm.Print_Area" localSheetId="1">'Table 1'!$B$1:$R$6</definedName>
    <definedName name="_xlnm.Print_Area" localSheetId="2">'Table 2'!$A$1:$G$25</definedName>
    <definedName name="_xlnm.Print_Area" localSheetId="3">'Table 3'!$B$1:$Q$22</definedName>
    <definedName name="_xlnm.Print_Area" localSheetId="4">'Table 4'!$B$1:$R$23</definedName>
    <definedName name="_xlnm.Print_Area" localSheetId="5">'Table 5'!$B$2:$T$45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0" i="3" l="1"/>
  <c r="T11" i="3"/>
  <c r="T12" i="3"/>
  <c r="T14" i="3"/>
  <c r="T16" i="3"/>
  <c r="P19" i="3"/>
  <c r="R19" i="3"/>
  <c r="S19" i="3"/>
  <c r="Q12" i="3"/>
  <c r="Q19" i="3" s="1"/>
  <c r="Q13" i="3"/>
  <c r="T13" i="3" s="1"/>
  <c r="Q14" i="3"/>
  <c r="Q15" i="3"/>
  <c r="T15" i="3" s="1"/>
  <c r="Q16" i="3"/>
  <c r="Q17" i="3"/>
  <c r="T17" i="3" s="1"/>
  <c r="Q18" i="3"/>
  <c r="R45" i="3"/>
  <c r="S45" i="3"/>
  <c r="Q8" i="3"/>
  <c r="Q9" i="3"/>
  <c r="Q10" i="3"/>
  <c r="Q11" i="3"/>
  <c r="C17" i="3"/>
  <c r="T18" i="3"/>
  <c r="D44" i="3"/>
  <c r="E44" i="3"/>
  <c r="F44" i="3"/>
  <c r="G44" i="3"/>
  <c r="H44" i="3"/>
  <c r="I44" i="3"/>
  <c r="J44" i="3"/>
  <c r="K44" i="3"/>
  <c r="L44" i="3"/>
  <c r="M44" i="3"/>
  <c r="N44" i="3"/>
  <c r="P44" i="3"/>
  <c r="R44" i="3"/>
  <c r="S44" i="3"/>
  <c r="C44" i="3"/>
  <c r="D29" i="3"/>
  <c r="E29" i="3"/>
  <c r="F29" i="3"/>
  <c r="G29" i="3"/>
  <c r="H29" i="3"/>
  <c r="I29" i="3"/>
  <c r="J29" i="3"/>
  <c r="K29" i="3"/>
  <c r="L29" i="3"/>
  <c r="M29" i="3"/>
  <c r="N29" i="3"/>
  <c r="N45" i="3" s="1"/>
  <c r="O29" i="3"/>
  <c r="P29" i="3"/>
  <c r="R29" i="3"/>
  <c r="S29" i="3"/>
  <c r="C29" i="3"/>
  <c r="E19" i="3"/>
  <c r="E45" i="3" s="1"/>
  <c r="F19" i="3"/>
  <c r="F45" i="3" s="1"/>
  <c r="G19" i="3"/>
  <c r="G45" i="3" s="1"/>
  <c r="H19" i="3"/>
  <c r="I19" i="3"/>
  <c r="I45" i="3" s="1"/>
  <c r="J19" i="3"/>
  <c r="J45" i="3" s="1"/>
  <c r="K19" i="3"/>
  <c r="K45" i="3" s="1"/>
  <c r="L19" i="3"/>
  <c r="M19" i="3"/>
  <c r="M45" i="3" s="1"/>
  <c r="N19" i="3"/>
  <c r="O19" i="3"/>
  <c r="P45" i="3"/>
  <c r="D19" i="3"/>
  <c r="T19" i="3" l="1"/>
  <c r="D45" i="3"/>
  <c r="L45" i="3"/>
  <c r="I4" i="1" s="1"/>
  <c r="H45" i="3"/>
  <c r="E4" i="1" s="1"/>
  <c r="M4" i="1"/>
  <c r="F4" i="1"/>
  <c r="G4" i="1"/>
  <c r="J4" i="1"/>
  <c r="K4" i="1"/>
  <c r="O4" i="1"/>
  <c r="O5" i="1"/>
  <c r="P5" i="1"/>
  <c r="Q43" i="3"/>
  <c r="T43" i="3" s="1"/>
  <c r="Q42" i="3"/>
  <c r="T42" i="3" s="1"/>
  <c r="Q41" i="3"/>
  <c r="T41" i="3" s="1"/>
  <c r="Q40" i="3"/>
  <c r="T40" i="3" s="1"/>
  <c r="Q39" i="3"/>
  <c r="T39" i="3" s="1"/>
  <c r="Q38" i="3"/>
  <c r="T38" i="3" s="1"/>
  <c r="Q37" i="3"/>
  <c r="T37" i="3" s="1"/>
  <c r="Q36" i="3"/>
  <c r="T36" i="3" s="1"/>
  <c r="Q35" i="3"/>
  <c r="T35" i="3" s="1"/>
  <c r="Q34" i="3"/>
  <c r="T34" i="3" s="1"/>
  <c r="Q33" i="3"/>
  <c r="T33" i="3" s="1"/>
  <c r="Q32" i="3"/>
  <c r="T32" i="3" s="1"/>
  <c r="Q30" i="3"/>
  <c r="T30" i="3" s="1"/>
  <c r="Q28" i="3"/>
  <c r="T28" i="3" s="1"/>
  <c r="Q27" i="3"/>
  <c r="T27" i="3" s="1"/>
  <c r="Q26" i="3"/>
  <c r="T26" i="3" s="1"/>
  <c r="Q25" i="3"/>
  <c r="T25" i="3" s="1"/>
  <c r="Q24" i="3"/>
  <c r="T24" i="3" s="1"/>
  <c r="Q23" i="3"/>
  <c r="T23" i="3" s="1"/>
  <c r="Q22" i="3"/>
  <c r="T22" i="3" s="1"/>
  <c r="Q21" i="3"/>
  <c r="Q20" i="3"/>
  <c r="T20" i="3" s="1"/>
  <c r="T9" i="3"/>
  <c r="T8" i="3"/>
  <c r="Q7" i="3"/>
  <c r="T7" i="3" s="1"/>
  <c r="Q6" i="3"/>
  <c r="T6" i="3" s="1"/>
  <c r="Q5" i="3"/>
  <c r="Q4" i="3"/>
  <c r="T4" i="3" s="1"/>
  <c r="C5" i="3"/>
  <c r="C15" i="3"/>
  <c r="C18" i="3"/>
  <c r="Q4" i="4"/>
  <c r="Q5" i="4"/>
  <c r="Q6" i="4"/>
  <c r="Q7" i="4"/>
  <c r="Q8" i="4"/>
  <c r="Q9" i="4"/>
  <c r="Q10" i="4"/>
  <c r="Q22" i="4" s="1"/>
  <c r="Q11" i="4"/>
  <c r="Q12" i="4"/>
  <c r="Q13" i="4"/>
  <c r="Q14" i="4"/>
  <c r="Q15" i="4"/>
  <c r="Q16" i="4"/>
  <c r="Q17" i="4"/>
  <c r="Q18" i="4"/>
  <c r="Q19" i="4"/>
  <c r="Q20" i="4"/>
  <c r="Q21" i="4"/>
  <c r="Q3" i="4"/>
  <c r="K22" i="4"/>
  <c r="L22" i="4"/>
  <c r="M22" i="4"/>
  <c r="N22" i="4"/>
  <c r="O22" i="4"/>
  <c r="P22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3" i="4"/>
  <c r="B7" i="2"/>
  <c r="B8" i="2"/>
  <c r="B9" i="2"/>
  <c r="B10" i="2"/>
  <c r="B11" i="2"/>
  <c r="B12" i="2"/>
  <c r="B13" i="2"/>
  <c r="B15" i="2"/>
  <c r="B16" i="2"/>
  <c r="B17" i="2"/>
  <c r="B18" i="2"/>
  <c r="B19" i="2"/>
  <c r="B20" i="2"/>
  <c r="B21" i="2"/>
  <c r="B22" i="2"/>
  <c r="B23" i="2"/>
  <c r="B24" i="2"/>
  <c r="B6" i="2"/>
  <c r="C7" i="2"/>
  <c r="C8" i="2"/>
  <c r="C9" i="2"/>
  <c r="C11" i="2"/>
  <c r="C12" i="2"/>
  <c r="C13" i="2"/>
  <c r="C15" i="2"/>
  <c r="C16" i="2"/>
  <c r="D16" i="2" s="1"/>
  <c r="C17" i="2"/>
  <c r="C19" i="2"/>
  <c r="D19" i="2" s="1"/>
  <c r="C20" i="2"/>
  <c r="D20" i="2" s="1"/>
  <c r="C21" i="2"/>
  <c r="C23" i="2"/>
  <c r="C24" i="2"/>
  <c r="C6" i="2"/>
  <c r="D22" i="4"/>
  <c r="E22" i="4"/>
  <c r="F22" i="4"/>
  <c r="G22" i="4"/>
  <c r="H22" i="4"/>
  <c r="I22" i="4"/>
  <c r="J22" i="4"/>
  <c r="C22" i="4"/>
  <c r="D5" i="1"/>
  <c r="E5" i="1"/>
  <c r="F5" i="1"/>
  <c r="G5" i="1"/>
  <c r="H5" i="1"/>
  <c r="I5" i="1"/>
  <c r="J5" i="1"/>
  <c r="K5" i="1"/>
  <c r="L5" i="1"/>
  <c r="M5" i="1"/>
  <c r="C5" i="1"/>
  <c r="N5" i="1" s="1"/>
  <c r="Q5" i="1" s="1"/>
  <c r="C3" i="10"/>
  <c r="C4" i="10"/>
  <c r="C5" i="10"/>
  <c r="C6" i="10"/>
  <c r="C7" i="10"/>
  <c r="C8" i="10"/>
  <c r="B8" i="10"/>
  <c r="B7" i="10"/>
  <c r="B6" i="10"/>
  <c r="B5" i="10"/>
  <c r="B4" i="10"/>
  <c r="B3" i="10"/>
  <c r="T5" i="3" l="1"/>
  <c r="T21" i="3"/>
  <c r="T29" i="3" s="1"/>
  <c r="Q29" i="3"/>
  <c r="C4" i="1"/>
  <c r="C6" i="1" s="1"/>
  <c r="C19" i="3"/>
  <c r="C45" i="3" s="1"/>
  <c r="P4" i="1"/>
  <c r="H4" i="1"/>
  <c r="D4" i="1"/>
  <c r="D23" i="2"/>
  <c r="D7" i="2"/>
  <c r="D24" i="2"/>
  <c r="D8" i="2"/>
  <c r="D12" i="2"/>
  <c r="D15" i="2"/>
  <c r="D11" i="2"/>
  <c r="B25" i="2"/>
  <c r="D6" i="2"/>
  <c r="D21" i="2"/>
  <c r="D17" i="2"/>
  <c r="D13" i="2"/>
  <c r="D9" i="2"/>
  <c r="C22" i="2"/>
  <c r="C18" i="2"/>
  <c r="C14" i="2"/>
  <c r="C10" i="2"/>
  <c r="E6" i="1" l="1"/>
  <c r="I6" i="1"/>
  <c r="H6" i="1"/>
  <c r="M6" i="1"/>
  <c r="D6" i="1"/>
  <c r="P6" i="1"/>
  <c r="D10" i="2"/>
  <c r="C25" i="2"/>
  <c r="D18" i="2"/>
  <c r="D22" i="2"/>
  <c r="D14" i="2"/>
  <c r="F6" i="1" l="1"/>
  <c r="J6" i="1"/>
  <c r="G6" i="1"/>
  <c r="K6" i="1"/>
  <c r="O6" i="1"/>
  <c r="D25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6" i="2"/>
  <c r="E8" i="2"/>
  <c r="E10" i="2"/>
  <c r="E11" i="2"/>
  <c r="E12" i="2"/>
  <c r="E15" i="2"/>
  <c r="E20" i="2"/>
  <c r="E24" i="2"/>
  <c r="M22" i="5"/>
  <c r="M20" i="5"/>
  <c r="M15" i="5"/>
  <c r="M14" i="5"/>
  <c r="E16" i="2" s="1"/>
  <c r="M10" i="5"/>
  <c r="M7" i="5"/>
  <c r="M5" i="5"/>
  <c r="M4" i="5"/>
  <c r="M23" i="5" s="1"/>
  <c r="L20" i="5"/>
  <c r="E22" i="2" s="1"/>
  <c r="L21" i="5"/>
  <c r="E23" i="2" s="1"/>
  <c r="L22" i="5"/>
  <c r="L19" i="5"/>
  <c r="E21" i="2" s="1"/>
  <c r="L17" i="5"/>
  <c r="E19" i="2" s="1"/>
  <c r="L16" i="5"/>
  <c r="E18" i="2" s="1"/>
  <c r="L15" i="5"/>
  <c r="E17" i="2" s="1"/>
  <c r="L12" i="5"/>
  <c r="E14" i="2" s="1"/>
  <c r="L10" i="5"/>
  <c r="L7" i="5"/>
  <c r="E9" i="2" s="1"/>
  <c r="L6" i="5"/>
  <c r="L5" i="5"/>
  <c r="R5" i="5" s="1"/>
  <c r="L4" i="5"/>
  <c r="E6" i="2" s="1"/>
  <c r="D4" i="6"/>
  <c r="D5" i="6"/>
  <c r="D7" i="6"/>
  <c r="D13" i="6"/>
  <c r="Q13" i="6" s="1"/>
  <c r="D18" i="6"/>
  <c r="D20" i="6"/>
  <c r="D21" i="6"/>
  <c r="C23" i="6"/>
  <c r="C20" i="6"/>
  <c r="C18" i="6"/>
  <c r="C14" i="6"/>
  <c r="C7" i="6"/>
  <c r="C24" i="6" s="1"/>
  <c r="C6" i="6"/>
  <c r="C5" i="6"/>
  <c r="C4" i="6"/>
  <c r="P22" i="6"/>
  <c r="P19" i="6"/>
  <c r="O19" i="6"/>
  <c r="Q19" i="6" s="1"/>
  <c r="P17" i="6"/>
  <c r="O17" i="6"/>
  <c r="O16" i="6"/>
  <c r="O15" i="6"/>
  <c r="P13" i="6"/>
  <c r="O13" i="6"/>
  <c r="P11" i="6"/>
  <c r="O11" i="6"/>
  <c r="P10" i="6"/>
  <c r="O10" i="6"/>
  <c r="P9" i="6"/>
  <c r="P24" i="6" s="1"/>
  <c r="O9" i="6"/>
  <c r="P6" i="6"/>
  <c r="O6" i="6"/>
  <c r="O5" i="6"/>
  <c r="O24" i="6" s="1"/>
  <c r="G24" i="6"/>
  <c r="H4" i="6"/>
  <c r="Q4" i="6" s="1"/>
  <c r="H5" i="6"/>
  <c r="Q5" i="6" s="1"/>
  <c r="H6" i="6"/>
  <c r="H7" i="6"/>
  <c r="H8" i="6"/>
  <c r="Q8" i="6"/>
  <c r="H9" i="6"/>
  <c r="Q9" i="6" s="1"/>
  <c r="H10" i="6"/>
  <c r="H11" i="6"/>
  <c r="Q11" i="6" s="1"/>
  <c r="H12" i="6"/>
  <c r="Q12" i="6" s="1"/>
  <c r="H13" i="6"/>
  <c r="H14" i="6"/>
  <c r="H15" i="6"/>
  <c r="Q15" i="6"/>
  <c r="H16" i="6"/>
  <c r="Q16" i="6" s="1"/>
  <c r="H17" i="6"/>
  <c r="H20" i="6"/>
  <c r="H21" i="6"/>
  <c r="Q21" i="6" s="1"/>
  <c r="H22" i="6"/>
  <c r="H23" i="6"/>
  <c r="H18" i="6"/>
  <c r="H33" i="6"/>
  <c r="N24" i="6"/>
  <c r="E6" i="6"/>
  <c r="Q6" i="6" s="1"/>
  <c r="E10" i="6"/>
  <c r="Q10" i="6"/>
  <c r="E14" i="6"/>
  <c r="Q14" i="6" s="1"/>
  <c r="E17" i="6"/>
  <c r="Q17" i="6"/>
  <c r="E18" i="6"/>
  <c r="Q18" i="6"/>
  <c r="E20" i="6"/>
  <c r="Q20" i="6"/>
  <c r="E22" i="6"/>
  <c r="Q22" i="6"/>
  <c r="E23" i="6"/>
  <c r="Q23" i="6"/>
  <c r="F24" i="6"/>
  <c r="I24" i="6"/>
  <c r="J24" i="6"/>
  <c r="K24" i="6"/>
  <c r="L24" i="6"/>
  <c r="M24" i="6"/>
  <c r="O31" i="3"/>
  <c r="E24" i="6"/>
  <c r="R13" i="5"/>
  <c r="R17" i="5"/>
  <c r="Q23" i="5"/>
  <c r="N23" i="5"/>
  <c r="K23" i="5"/>
  <c r="J23" i="5"/>
  <c r="I23" i="5"/>
  <c r="H23" i="5"/>
  <c r="G23" i="5"/>
  <c r="F23" i="5"/>
  <c r="E23" i="5"/>
  <c r="D23" i="5"/>
  <c r="C23" i="5"/>
  <c r="P22" i="5"/>
  <c r="P21" i="5"/>
  <c r="P20" i="5"/>
  <c r="R20" i="5" s="1"/>
  <c r="P16" i="5"/>
  <c r="P15" i="5"/>
  <c r="P14" i="5"/>
  <c r="P11" i="5"/>
  <c r="E13" i="2" s="1"/>
  <c r="P10" i="5"/>
  <c r="P19" i="5"/>
  <c r="P6" i="5"/>
  <c r="P4" i="5"/>
  <c r="P23" i="5" s="1"/>
  <c r="R22" i="5"/>
  <c r="R21" i="5"/>
  <c r="R18" i="5"/>
  <c r="R16" i="5"/>
  <c r="R15" i="5"/>
  <c r="R11" i="5"/>
  <c r="R10" i="5"/>
  <c r="R9" i="5"/>
  <c r="R8" i="5"/>
  <c r="R7" i="5"/>
  <c r="R6" i="5"/>
  <c r="O23" i="5"/>
  <c r="O44" i="3" l="1"/>
  <c r="O45" i="3" s="1"/>
  <c r="L4" i="1" s="1"/>
  <c r="Q31" i="3"/>
  <c r="G24" i="2"/>
  <c r="G20" i="2"/>
  <c r="G16" i="2"/>
  <c r="G12" i="2"/>
  <c r="G8" i="2"/>
  <c r="G22" i="2"/>
  <c r="G23" i="2"/>
  <c r="G19" i="2"/>
  <c r="G15" i="2"/>
  <c r="G11" i="2"/>
  <c r="G10" i="2"/>
  <c r="G6" i="2"/>
  <c r="G21" i="2"/>
  <c r="G17" i="2"/>
  <c r="G9" i="2"/>
  <c r="G18" i="2"/>
  <c r="G14" i="2"/>
  <c r="F25" i="2"/>
  <c r="G13" i="2"/>
  <c r="H24" i="6"/>
  <c r="D24" i="6"/>
  <c r="Q7" i="6"/>
  <c r="Q24" i="6" s="1"/>
  <c r="R14" i="5"/>
  <c r="R19" i="5"/>
  <c r="L23" i="5"/>
  <c r="R4" i="5"/>
  <c r="R23" i="5" s="1"/>
  <c r="R12" i="5"/>
  <c r="E7" i="2"/>
  <c r="E25" i="2" s="1"/>
  <c r="L6" i="1" l="1"/>
  <c r="N6" i="1" s="1"/>
  <c r="Q6" i="1" s="1"/>
  <c r="R4" i="1" s="1"/>
  <c r="N4" i="1"/>
  <c r="Q4" i="1" s="1"/>
  <c r="Q44" i="3"/>
  <c r="Q45" i="3" s="1"/>
  <c r="T31" i="3"/>
  <c r="G7" i="2"/>
  <c r="G25" i="2"/>
  <c r="T44" i="3" l="1"/>
  <c r="T45" i="3" s="1"/>
  <c r="R5" i="1"/>
  <c r="R6" i="1" s="1"/>
</calcChain>
</file>

<file path=xl/sharedStrings.xml><?xml version="1.0" encoding="utf-8"?>
<sst xmlns="http://schemas.openxmlformats.org/spreadsheetml/2006/main" count="492" uniqueCount="181">
  <si>
    <t> TOTAL RECEIPTS</t>
  </si>
  <si>
    <t>(CASH)</t>
  </si>
  <si>
    <t>Donors</t>
  </si>
  <si>
    <t>Member States</t>
  </si>
  <si>
    <t>TOTAL</t>
  </si>
  <si>
    <t>COM$</t>
  </si>
  <si>
    <t>2018 &amp; 2019</t>
  </si>
  <si>
    <t xml:space="preserve"> BURUNDI </t>
  </si>
  <si>
    <t xml:space="preserve"> COMOROS </t>
  </si>
  <si>
    <t xml:space="preserve"> DJIBOUTI </t>
  </si>
  <si>
    <t xml:space="preserve"> DRC </t>
  </si>
  <si>
    <t xml:space="preserve"> EGYPT </t>
  </si>
  <si>
    <t xml:space="preserve"> ERITREA </t>
  </si>
  <si>
    <t xml:space="preserve"> ETHIOPIA </t>
  </si>
  <si>
    <t xml:space="preserve"> KENYA </t>
  </si>
  <si>
    <t xml:space="preserve"> LIBYA </t>
  </si>
  <si>
    <t xml:space="preserve"> MADAGASCAR </t>
  </si>
  <si>
    <t xml:space="preserve"> MALAWI </t>
  </si>
  <si>
    <t xml:space="preserve"> MAURITIUS </t>
  </si>
  <si>
    <t xml:space="preserve"> RWANDA </t>
  </si>
  <si>
    <t xml:space="preserve"> SEYCHELLES </t>
  </si>
  <si>
    <t xml:space="preserve"> SUDAN </t>
  </si>
  <si>
    <t xml:space="preserve"> SWAZILAND </t>
  </si>
  <si>
    <t xml:space="preserve"> UGANDA </t>
  </si>
  <si>
    <t xml:space="preserve"> ZAMBIA </t>
  </si>
  <si>
    <t xml:space="preserve"> ZIMBABWE </t>
  </si>
  <si>
    <t xml:space="preserve"> TOTAL </t>
  </si>
  <si>
    <t>Programme/project</t>
  </si>
  <si>
    <t>Agreement Amount</t>
  </si>
  <si>
    <t>Actual Expenditure</t>
  </si>
  <si>
    <t>RISP</t>
  </si>
  <si>
    <t xml:space="preserve">                -   </t>
  </si>
  <si>
    <t xml:space="preserve">                   -   </t>
  </si>
  <si>
    <t xml:space="preserve">               -   </t>
  </si>
  <si>
    <t xml:space="preserve">                  -   </t>
  </si>
  <si>
    <t xml:space="preserve">                      -   </t>
  </si>
  <si>
    <t>RISP2</t>
  </si>
  <si>
    <t xml:space="preserve">                    -   </t>
  </si>
  <si>
    <t xml:space="preserve">                           -   </t>
  </si>
  <si>
    <t xml:space="preserve">                          -   </t>
  </si>
  <si>
    <t xml:space="preserve">                               -   </t>
  </si>
  <si>
    <t>RISP3</t>
  </si>
  <si>
    <t xml:space="preserve">                        -   </t>
  </si>
  <si>
    <t xml:space="preserve">                       -   </t>
  </si>
  <si>
    <t>Climate Change</t>
  </si>
  <si>
    <t>CAADP</t>
  </si>
  <si>
    <t>RISM</t>
  </si>
  <si>
    <t>USAID</t>
  </si>
  <si>
    <t>ACBF</t>
  </si>
  <si>
    <t xml:space="preserve">                             -   </t>
  </si>
  <si>
    <t>AfDB Tripartite</t>
  </si>
  <si>
    <t xml:space="preserve">AfDB Great Lakes </t>
  </si>
  <si>
    <t xml:space="preserve">AfDB $50million </t>
  </si>
  <si>
    <t>APSA</t>
  </si>
  <si>
    <t>KFW- AUC</t>
  </si>
  <si>
    <t xml:space="preserve"> TFP -AFDB </t>
  </si>
  <si>
    <t>MASE</t>
  </si>
  <si>
    <t xml:space="preserve"> AfDB Airspace </t>
  </si>
  <si>
    <t>NEPAD</t>
  </si>
  <si>
    <t xml:space="preserve">Country </t>
  </si>
  <si>
    <t>Sub-total</t>
  </si>
  <si>
    <t>Total</t>
  </si>
  <si>
    <t>Burundi</t>
  </si>
  <si>
    <t>Comoros</t>
  </si>
  <si>
    <t>Democratic Republic of Congo</t>
  </si>
  <si>
    <t>Djibouti</t>
  </si>
  <si>
    <t>345,55</t>
  </si>
  <si>
    <t>Egypt</t>
  </si>
  <si>
    <t>Eritrea</t>
  </si>
  <si>
    <t xml:space="preserve">                     -   </t>
  </si>
  <si>
    <t>Ethiopia</t>
  </si>
  <si>
    <t>Kenya</t>
  </si>
  <si>
    <t>Libya</t>
  </si>
  <si>
    <t>Madagascar</t>
  </si>
  <si>
    <t xml:space="preserve">                         -   </t>
  </si>
  <si>
    <t>Malawi</t>
  </si>
  <si>
    <t>Mauritius</t>
  </si>
  <si>
    <t>Rwanda</t>
  </si>
  <si>
    <t>423,36</t>
  </si>
  <si>
    <t>Seychelles</t>
  </si>
  <si>
    <t xml:space="preserve">Sudan </t>
  </si>
  <si>
    <t>Swaziland</t>
  </si>
  <si>
    <t>Uganda</t>
  </si>
  <si>
    <t>249,96</t>
  </si>
  <si>
    <t xml:space="preserve">Zambia </t>
  </si>
  <si>
    <t>Zimbabwe</t>
  </si>
  <si>
    <t>792,11</t>
  </si>
  <si>
    <t>MS</t>
  </si>
  <si>
    <t>RISP-TCF(RISP3</t>
  </si>
  <si>
    <t>NORTH/ SOUTH</t>
  </si>
  <si>
    <t>NORWEGIA-Climate change</t>
  </si>
  <si>
    <t>DFID</t>
  </si>
  <si>
    <t>CCC</t>
  </si>
  <si>
    <t>SCB AfDB</t>
  </si>
  <si>
    <t>ACTESA</t>
  </si>
  <si>
    <t>BURUNDI</t>
  </si>
  <si>
    <t>-</t>
  </si>
  <si>
    <t>COMOROS</t>
  </si>
  <si>
    <t>DJIBOUTI</t>
  </si>
  <si>
    <t>DRC</t>
  </si>
  <si>
    <t>EGYPT</t>
  </si>
  <si>
    <t>ERITREA</t>
  </si>
  <si>
    <t>ETHIOPIA</t>
  </si>
  <si>
    <t>KENYA</t>
  </si>
  <si>
    <t>LIBYA</t>
  </si>
  <si>
    <t>MADAGASCAR</t>
  </si>
  <si>
    <t>MALAWI</t>
  </si>
  <si>
    <t>MAURITIUS</t>
  </si>
  <si>
    <t>RWANDA</t>
  </si>
  <si>
    <t>SEYCHELLES</t>
  </si>
  <si>
    <t>SUDAN</t>
  </si>
  <si>
    <t>SWAZILAND</t>
  </si>
  <si>
    <t>UGANDA</t>
  </si>
  <si>
    <t>ZAMBIA</t>
  </si>
  <si>
    <t>ZIMBABWE</t>
  </si>
  <si>
    <t>Sub Total</t>
  </si>
  <si>
    <t>2005-2017</t>
  </si>
  <si>
    <t>Expenditure</t>
  </si>
  <si>
    <t>Budget</t>
  </si>
  <si>
    <t>COMESA TFP</t>
  </si>
  <si>
    <t>Climate Change EU GCCA+</t>
  </si>
  <si>
    <t>AfDB 50mws</t>
  </si>
  <si>
    <t>AfDB ICP</t>
  </si>
  <si>
    <t>AfDB SCB4.2</t>
  </si>
  <si>
    <t>AfDB TCBP</t>
  </si>
  <si>
    <t>AfDB SCB</t>
  </si>
  <si>
    <t>11EDF - TCF</t>
  </si>
  <si>
    <t>MEMBER STATES</t>
  </si>
  <si>
    <t>USD</t>
  </si>
  <si>
    <t xml:space="preserve"> </t>
  </si>
  <si>
    <t>SOMALIA</t>
  </si>
  <si>
    <t xml:space="preserve">VETGOV </t>
  </si>
  <si>
    <t xml:space="preserve">TMSA </t>
  </si>
  <si>
    <t xml:space="preserve">DFID(RTFP) Trade in Services </t>
  </si>
  <si>
    <t>Col 1</t>
  </si>
  <si>
    <t>Col 2</t>
  </si>
  <si>
    <t>Col 3</t>
  </si>
  <si>
    <t>Col 4=Col 2-3</t>
  </si>
  <si>
    <t>Col 5</t>
  </si>
  <si>
    <t>Col 6</t>
  </si>
  <si>
    <t>Col 7=Col 4+5-6</t>
  </si>
  <si>
    <t>Mainstreaming SPS Capacity Building</t>
  </si>
  <si>
    <t>CTF</t>
  </si>
  <si>
    <t>ESREM</t>
  </si>
  <si>
    <t>OTHER GRANTS</t>
  </si>
  <si>
    <t>AFDB</t>
  </si>
  <si>
    <t>GREAT LAKES TRADE FACILITATION</t>
  </si>
  <si>
    <t>&gt;&gt;Detail Report 1</t>
  </si>
  <si>
    <t>&gt;'atb</t>
  </si>
  <si>
    <t xml:space="preserve">&gt;'[LASATA SETUP FILE]_x000D_
Date=2019-10-09 14:28:48_x000D_
FileType=Agora XLB ExtractTransactions_x000D_
Version=0_x000D_
Buffer=_x000D_
@systemProduct:Str=SS6_x000D_
@systemTable:Str=LA_x000D_
@filterFrom_DbC:Str=ICP_x000D_
@filterFrom_/LA/Ldg:Str=B_x000D_
@filterFrom_/LA/AccCde:Str=&lt;ALL&gt;_x000D_
@filterFrom_/LA/Prd:Str=2018/001_x000D_
@filterTo_/LA/Prd:Str=2018/004_x000D_
@outputField_/LA/BseAmt:Str=_x000D_
@outputField_/LA/Desc:Str=_x000D_
@formatType:Lng=-4154_x000D_
@formatNumber:Int=1_x000D_
@formatPattern:Int=1_x000D_
@formatFont:Int=1_x000D_
@formatWidth:Int=1_x000D_
@formatAlignment:Int=1_x000D_
@formatBorder:Int=1_x000D_
@filenmSetupfile:Str=_x000D_
@filenmWorkbookSetupFile:Str=Detail Report 1_x000D_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</si>
  <si>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Member State</t>
  </si>
  <si>
    <t>Cash Transfer to Member States</t>
  </si>
  <si>
    <t>Cash receipt from Member States</t>
  </si>
  <si>
    <t>2010 - 2017</t>
  </si>
  <si>
    <t>2018 - 2019</t>
  </si>
  <si>
    <t>2010 - 2019</t>
  </si>
  <si>
    <t>Trade Facilitation</t>
  </si>
  <si>
    <t>VICMED</t>
  </si>
  <si>
    <t>2005-2019</t>
  </si>
  <si>
    <t>Table 1</t>
  </si>
  <si>
    <t>Member States and Grants receipts (2007 2019)</t>
  </si>
  <si>
    <t>Table 2</t>
  </si>
  <si>
    <t>Table 3</t>
  </si>
  <si>
    <t>Yearly receipts of assessed annual contributions (2007 - 2019)</t>
  </si>
  <si>
    <t>Table 4</t>
  </si>
  <si>
    <t>COMESA cash transfer summary to Member States (2010 - 2019)</t>
  </si>
  <si>
    <t>COMESA cash transfer per project to Member States (2010 - 2019)</t>
  </si>
  <si>
    <t xml:space="preserve">Table 5 </t>
  </si>
  <si>
    <t xml:space="preserve">Table 6 </t>
  </si>
  <si>
    <t>COMESA Technical assistance to MS (2018 - 2019)</t>
  </si>
  <si>
    <t>COMESA Grant agreements and yearly receipts (2005 - 2019)</t>
  </si>
  <si>
    <t>Amount</t>
  </si>
  <si>
    <t>%</t>
  </si>
  <si>
    <t>Excess of (transfer to MS)/receipts from MS)</t>
  </si>
  <si>
    <t>RIGO - USAID</t>
  </si>
  <si>
    <t>Cross Border</t>
  </si>
  <si>
    <t>European Union [Euro x 1.1 = US$]</t>
  </si>
  <si>
    <t>Technical Cooperation Facility</t>
  </si>
  <si>
    <t>2005-2007</t>
  </si>
  <si>
    <t xml:space="preserve">Tripartite Transit and Transport Facilitation Program (TTTFP) </t>
  </si>
  <si>
    <t>Enhancing COMESA Capacity in Trade Policy Analysis, Research and Training (TRADECOM)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</si>
</sst>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;[Red]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u val="double"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0"/>
      <name val="Arial Narrow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vertical="top"/>
    </xf>
    <xf numFmtId="0" fontId="5" fillId="0" borderId="0" xfId="0" applyFont="1"/>
    <xf numFmtId="0" fontId="4" fillId="0" borderId="0" xfId="0" applyFont="1"/>
    <xf numFmtId="0" fontId="5" fillId="0" borderId="0" xfId="0" applyFont="1" applyFill="1"/>
    <xf numFmtId="164" fontId="5" fillId="0" borderId="0" xfId="1" applyFont="1"/>
    <xf numFmtId="164" fontId="5" fillId="0" borderId="0" xfId="1" applyFont="1" applyFill="1"/>
    <xf numFmtId="164" fontId="5" fillId="0" borderId="0" xfId="0" applyNumberFormat="1" applyFont="1" applyFill="1"/>
    <xf numFmtId="164" fontId="4" fillId="0" borderId="0" xfId="1" applyFont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7" fillId="0" borderId="0" xfId="1" applyNumberFormat="1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8" fillId="0" borderId="19" xfId="0" applyFont="1" applyFill="1" applyBorder="1"/>
    <xf numFmtId="0" fontId="9" fillId="0" borderId="19" xfId="0" applyFont="1" applyFill="1" applyBorder="1"/>
    <xf numFmtId="0" fontId="9" fillId="0" borderId="20" xfId="0" applyFont="1" applyFill="1" applyBorder="1"/>
    <xf numFmtId="0" fontId="8" fillId="4" borderId="10" xfId="0" applyFont="1" applyFill="1" applyBorder="1" applyAlignment="1">
      <alignment vertical="top" wrapText="1"/>
    </xf>
    <xf numFmtId="0" fontId="8" fillId="4" borderId="11" xfId="0" applyFont="1" applyFill="1" applyBorder="1" applyAlignment="1">
      <alignment vertical="top" wrapText="1"/>
    </xf>
    <xf numFmtId="0" fontId="9" fillId="4" borderId="11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0" fontId="12" fillId="0" borderId="18" xfId="0" applyFont="1" applyFill="1" applyBorder="1"/>
    <xf numFmtId="0" fontId="5" fillId="0" borderId="0" xfId="0" applyFont="1" applyAlignment="1"/>
    <xf numFmtId="0" fontId="4" fillId="0" borderId="0" xfId="0" applyFont="1" applyAlignment="1"/>
    <xf numFmtId="164" fontId="0" fillId="0" borderId="0" xfId="1" applyFont="1"/>
    <xf numFmtId="0" fontId="0" fillId="0" borderId="0" xfId="0" applyFill="1"/>
    <xf numFmtId="0" fontId="13" fillId="0" borderId="0" xfId="0" applyFont="1" applyAlignment="1"/>
    <xf numFmtId="0" fontId="0" fillId="0" borderId="0" xfId="0" applyAlignment="1">
      <alignment wrapText="1"/>
    </xf>
    <xf numFmtId="0" fontId="7" fillId="0" borderId="0" xfId="0" applyFont="1" applyFill="1" applyAlignment="1">
      <alignment horizontal="right"/>
    </xf>
    <xf numFmtId="164" fontId="7" fillId="0" borderId="0" xfId="1" applyFont="1" applyFill="1" applyAlignment="1">
      <alignment horizontal="right"/>
    </xf>
    <xf numFmtId="0" fontId="14" fillId="0" borderId="0" xfId="0" applyFont="1"/>
    <xf numFmtId="0" fontId="15" fillId="2" borderId="2" xfId="0" applyFont="1" applyFill="1" applyBorder="1" applyAlignment="1">
      <alignment vertical="center"/>
    </xf>
    <xf numFmtId="0" fontId="17" fillId="0" borderId="0" xfId="0" applyFont="1" applyAlignment="1">
      <alignment vertical="top"/>
    </xf>
    <xf numFmtId="38" fontId="16" fillId="0" borderId="1" xfId="1" applyNumberFormat="1" applyFont="1" applyFill="1" applyBorder="1" applyAlignment="1">
      <alignment horizontal="right" vertical="top" wrapText="1"/>
    </xf>
    <xf numFmtId="0" fontId="16" fillId="0" borderId="5" xfId="0" applyFont="1" applyFill="1" applyBorder="1" applyAlignment="1">
      <alignment vertical="top" wrapText="1"/>
    </xf>
    <xf numFmtId="0" fontId="16" fillId="0" borderId="7" xfId="0" applyFont="1" applyFill="1" applyBorder="1" applyAlignment="1">
      <alignment vertical="top" wrapText="1"/>
    </xf>
    <xf numFmtId="38" fontId="16" fillId="0" borderId="8" xfId="0" applyNumberFormat="1" applyFont="1" applyFill="1" applyBorder="1" applyAlignment="1">
      <alignment horizontal="right" vertical="top" wrapText="1"/>
    </xf>
    <xf numFmtId="0" fontId="16" fillId="5" borderId="3" xfId="0" applyFont="1" applyFill="1" applyBorder="1" applyAlignment="1">
      <alignment horizontal="right" vertical="top" wrapText="1"/>
    </xf>
    <xf numFmtId="0" fontId="16" fillId="5" borderId="1" xfId="0" applyFont="1" applyFill="1" applyBorder="1" applyAlignment="1">
      <alignment horizontal="right" vertical="top" wrapText="1"/>
    </xf>
    <xf numFmtId="0" fontId="16" fillId="0" borderId="34" xfId="0" applyFont="1" applyFill="1" applyBorder="1" applyAlignment="1">
      <alignment vertical="top" wrapText="1"/>
    </xf>
    <xf numFmtId="38" fontId="16" fillId="0" borderId="35" xfId="0" applyNumberFormat="1" applyFont="1" applyFill="1" applyBorder="1" applyAlignment="1">
      <alignment horizontal="right" vertical="top" wrapText="1"/>
    </xf>
    <xf numFmtId="38" fontId="16" fillId="0" borderId="35" xfId="1" applyNumberFormat="1" applyFont="1" applyFill="1" applyBorder="1" applyAlignment="1">
      <alignment horizontal="right" vertical="top" wrapText="1"/>
    </xf>
    <xf numFmtId="0" fontId="16" fillId="5" borderId="7" xfId="0" applyFont="1" applyFill="1" applyBorder="1" applyAlignment="1">
      <alignment horizontal="left" vertical="top" wrapText="1"/>
    </xf>
    <xf numFmtId="0" fontId="16" fillId="5" borderId="8" xfId="0" applyFont="1" applyFill="1" applyBorder="1" applyAlignment="1">
      <alignment horizontal="right" vertical="top" wrapText="1"/>
    </xf>
    <xf numFmtId="0" fontId="17" fillId="0" borderId="0" xfId="0" applyFont="1"/>
    <xf numFmtId="0" fontId="17" fillId="0" borderId="0" xfId="0" applyFont="1" applyFill="1"/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right" vertical="center" wrapText="1"/>
    </xf>
    <xf numFmtId="164" fontId="16" fillId="0" borderId="1" xfId="1" applyFont="1" applyBorder="1" applyAlignment="1">
      <alignment vertical="center" wrapText="1"/>
    </xf>
    <xf numFmtId="165" fontId="16" fillId="0" borderId="1" xfId="1" applyNumberFormat="1" applyFont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 wrapText="1"/>
    </xf>
    <xf numFmtId="164" fontId="15" fillId="0" borderId="1" xfId="1" applyFont="1" applyBorder="1" applyAlignment="1">
      <alignment vertical="center" wrapText="1"/>
    </xf>
    <xf numFmtId="165" fontId="15" fillId="0" borderId="1" xfId="1" applyNumberFormat="1" applyFont="1" applyBorder="1" applyAlignment="1">
      <alignment horizontal="right" vertical="center" wrapText="1"/>
    </xf>
    <xf numFmtId="165" fontId="11" fillId="0" borderId="11" xfId="1" applyNumberFormat="1" applyFont="1" applyFill="1" applyBorder="1" applyAlignment="1">
      <alignment horizontal="right" wrapText="1"/>
    </xf>
    <xf numFmtId="165" fontId="8" fillId="0" borderId="11" xfId="1" applyNumberFormat="1" applyFont="1" applyFill="1" applyBorder="1" applyAlignment="1">
      <alignment horizontal="right" wrapText="1"/>
    </xf>
    <xf numFmtId="165" fontId="9" fillId="0" borderId="11" xfId="1" applyNumberFormat="1" applyFont="1" applyFill="1" applyBorder="1" applyAlignment="1">
      <alignment horizontal="right"/>
    </xf>
    <xf numFmtId="165" fontId="9" fillId="0" borderId="12" xfId="1" applyNumberFormat="1" applyFont="1" applyFill="1" applyBorder="1" applyAlignment="1">
      <alignment horizontal="right" wrapText="1"/>
    </xf>
    <xf numFmtId="165" fontId="11" fillId="0" borderId="1" xfId="1" applyNumberFormat="1" applyFont="1" applyFill="1" applyBorder="1" applyAlignment="1">
      <alignment horizontal="right" wrapText="1"/>
    </xf>
    <xf numFmtId="165" fontId="8" fillId="0" borderId="1" xfId="1" applyNumberFormat="1" applyFont="1" applyFill="1" applyBorder="1" applyAlignment="1">
      <alignment horizontal="right" wrapText="1"/>
    </xf>
    <xf numFmtId="165" fontId="2" fillId="0" borderId="1" xfId="1" applyNumberFormat="1" applyFont="1" applyFill="1" applyBorder="1" applyAlignment="1">
      <alignment horizontal="right" wrapText="1"/>
    </xf>
    <xf numFmtId="165" fontId="9" fillId="0" borderId="1" xfId="1" applyNumberFormat="1" applyFont="1" applyFill="1" applyBorder="1" applyAlignment="1">
      <alignment horizontal="right"/>
    </xf>
    <xf numFmtId="165" fontId="9" fillId="0" borderId="14" xfId="1" applyNumberFormat="1" applyFont="1" applyFill="1" applyBorder="1" applyAlignment="1">
      <alignment horizontal="right" wrapText="1"/>
    </xf>
    <xf numFmtId="165" fontId="2" fillId="0" borderId="1" xfId="1" applyNumberFormat="1" applyFont="1" applyFill="1" applyBorder="1" applyAlignment="1">
      <alignment horizontal="right"/>
    </xf>
    <xf numFmtId="165" fontId="10" fillId="0" borderId="16" xfId="1" applyNumberFormat="1" applyFont="1" applyFill="1" applyBorder="1" applyAlignment="1">
      <alignment horizontal="right" wrapText="1"/>
    </xf>
    <xf numFmtId="165" fontId="10" fillId="0" borderId="16" xfId="1" applyNumberFormat="1" applyFont="1" applyFill="1" applyBorder="1" applyAlignment="1">
      <alignment horizontal="center" wrapText="1"/>
    </xf>
    <xf numFmtId="165" fontId="10" fillId="0" borderId="17" xfId="1" applyNumberFormat="1" applyFont="1" applyFill="1" applyBorder="1" applyAlignment="1">
      <alignment horizontal="right" wrapText="1"/>
    </xf>
    <xf numFmtId="165" fontId="18" fillId="0" borderId="11" xfId="1" applyNumberFormat="1" applyFont="1" applyFill="1" applyBorder="1" applyAlignment="1">
      <alignment wrapText="1"/>
    </xf>
    <xf numFmtId="165" fontId="18" fillId="0" borderId="11" xfId="1" applyNumberFormat="1" applyFont="1" applyFill="1" applyBorder="1" applyAlignment="1"/>
    <xf numFmtId="165" fontId="17" fillId="0" borderId="11" xfId="1" applyNumberFormat="1" applyFont="1" applyBorder="1" applyAlignment="1"/>
    <xf numFmtId="165" fontId="17" fillId="0" borderId="11" xfId="1" applyNumberFormat="1" applyFont="1" applyBorder="1" applyAlignment="1">
      <alignment wrapText="1"/>
    </xf>
    <xf numFmtId="165" fontId="18" fillId="0" borderId="11" xfId="1" applyNumberFormat="1" applyFont="1" applyFill="1" applyBorder="1" applyAlignment="1">
      <alignment vertical="top" wrapText="1"/>
    </xf>
    <xf numFmtId="165" fontId="17" fillId="0" borderId="11" xfId="1" applyNumberFormat="1" applyFont="1" applyBorder="1" applyAlignment="1">
      <alignment vertical="top" wrapText="1"/>
    </xf>
    <xf numFmtId="165" fontId="18" fillId="0" borderId="1" xfId="1" applyNumberFormat="1" applyFont="1" applyFill="1" applyBorder="1" applyAlignment="1">
      <alignment wrapText="1"/>
    </xf>
    <xf numFmtId="165" fontId="18" fillId="0" borderId="1" xfId="1" applyNumberFormat="1" applyFont="1" applyFill="1" applyBorder="1" applyAlignment="1"/>
    <xf numFmtId="165" fontId="17" fillId="0" borderId="1" xfId="1" applyNumberFormat="1" applyFont="1" applyBorder="1" applyAlignment="1"/>
    <xf numFmtId="165" fontId="17" fillId="0" borderId="1" xfId="1" applyNumberFormat="1" applyFont="1" applyBorder="1" applyAlignment="1">
      <alignment wrapText="1"/>
    </xf>
    <xf numFmtId="165" fontId="18" fillId="0" borderId="1" xfId="1" applyNumberFormat="1" applyFont="1" applyFill="1" applyBorder="1" applyAlignment="1">
      <alignment vertical="top" wrapText="1"/>
    </xf>
    <xf numFmtId="165" fontId="17" fillId="0" borderId="1" xfId="1" applyNumberFormat="1" applyFont="1" applyBorder="1" applyAlignment="1">
      <alignment vertical="top" wrapText="1"/>
    </xf>
    <xf numFmtId="165" fontId="17" fillId="0" borderId="1" xfId="1" applyNumberFormat="1" applyFont="1" applyFill="1" applyBorder="1" applyAlignment="1"/>
    <xf numFmtId="165" fontId="18" fillId="0" borderId="25" xfId="1" applyNumberFormat="1" applyFont="1" applyFill="1" applyBorder="1" applyAlignment="1">
      <alignment wrapText="1"/>
    </xf>
    <xf numFmtId="165" fontId="18" fillId="0" borderId="25" xfId="1" applyNumberFormat="1" applyFont="1" applyFill="1" applyBorder="1" applyAlignment="1"/>
    <xf numFmtId="165" fontId="17" fillId="0" borderId="25" xfId="1" applyNumberFormat="1" applyFont="1" applyBorder="1" applyAlignment="1">
      <alignment wrapText="1"/>
    </xf>
    <xf numFmtId="165" fontId="18" fillId="0" borderId="25" xfId="1" applyNumberFormat="1" applyFont="1" applyFill="1" applyBorder="1" applyAlignment="1">
      <alignment vertical="top" wrapText="1"/>
    </xf>
    <xf numFmtId="165" fontId="17" fillId="0" borderId="25" xfId="1" applyNumberFormat="1" applyFont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165" fontId="18" fillId="0" borderId="12" xfId="1" applyNumberFormat="1" applyFont="1" applyFill="1" applyBorder="1" applyAlignment="1">
      <alignment vertical="top" wrapText="1"/>
    </xf>
    <xf numFmtId="0" fontId="18" fillId="0" borderId="13" xfId="0" applyFont="1" applyFill="1" applyBorder="1" applyAlignment="1">
      <alignment vertical="top" wrapText="1"/>
    </xf>
    <xf numFmtId="165" fontId="18" fillId="0" borderId="14" xfId="1" applyNumberFormat="1" applyFont="1" applyFill="1" applyBorder="1" applyAlignment="1">
      <alignment vertical="top" wrapText="1"/>
    </xf>
    <xf numFmtId="0" fontId="18" fillId="0" borderId="24" xfId="0" applyFont="1" applyFill="1" applyBorder="1" applyAlignment="1">
      <alignment vertical="top" wrapText="1"/>
    </xf>
    <xf numFmtId="165" fontId="18" fillId="0" borderId="26" xfId="1" applyNumberFormat="1" applyFont="1" applyFill="1" applyBorder="1" applyAlignment="1">
      <alignment vertical="top" wrapText="1"/>
    </xf>
    <xf numFmtId="0" fontId="18" fillId="0" borderId="21" xfId="0" applyFont="1" applyFill="1" applyBorder="1" applyAlignment="1">
      <alignment vertical="top" wrapText="1"/>
    </xf>
    <xf numFmtId="165" fontId="18" fillId="0" borderId="22" xfId="1" applyNumberFormat="1" applyFont="1" applyFill="1" applyBorder="1" applyAlignment="1">
      <alignment wrapText="1"/>
    </xf>
    <xf numFmtId="165" fontId="17" fillId="0" borderId="22" xfId="1" applyNumberFormat="1" applyFont="1" applyBorder="1" applyAlignment="1">
      <alignment vertical="top" wrapText="1"/>
    </xf>
    <xf numFmtId="165" fontId="18" fillId="0" borderId="23" xfId="1" applyNumberFormat="1" applyFont="1" applyFill="1" applyBorder="1" applyAlignment="1">
      <alignment wrapText="1"/>
    </xf>
    <xf numFmtId="0" fontId="19" fillId="5" borderId="13" xfId="0" applyFont="1" applyFill="1" applyBorder="1" applyAlignment="1">
      <alignment vertical="top" wrapText="1"/>
    </xf>
    <xf numFmtId="0" fontId="19" fillId="5" borderId="1" xfId="0" applyFont="1" applyFill="1" applyBorder="1" applyAlignment="1">
      <alignment horizontal="right" vertical="top" wrapText="1"/>
    </xf>
    <xf numFmtId="0" fontId="19" fillId="5" borderId="14" xfId="0" applyFont="1" applyFill="1" applyBorder="1" applyAlignment="1">
      <alignment horizontal="right" vertical="top" wrapText="1"/>
    </xf>
    <xf numFmtId="0" fontId="19" fillId="5" borderId="15" xfId="0" applyFont="1" applyFill="1" applyBorder="1" applyAlignment="1">
      <alignment vertical="top" wrapText="1"/>
    </xf>
    <xf numFmtId="0" fontId="19" fillId="5" borderId="17" xfId="0" applyFont="1" applyFill="1" applyBorder="1" applyAlignment="1">
      <alignment horizontal="right" vertical="top" wrapText="1"/>
    </xf>
    <xf numFmtId="0" fontId="19" fillId="0" borderId="0" xfId="0" applyFont="1"/>
    <xf numFmtId="0" fontId="15" fillId="0" borderId="0" xfId="0" applyFont="1" applyAlignment="1">
      <alignment vertical="top"/>
    </xf>
    <xf numFmtId="165" fontId="20" fillId="5" borderId="27" xfId="1" applyNumberFormat="1" applyFont="1" applyFill="1" applyBorder="1" applyAlignment="1">
      <alignment vertical="center" wrapText="1"/>
    </xf>
    <xf numFmtId="165" fontId="20" fillId="5" borderId="1" xfId="1" applyNumberFormat="1" applyFont="1" applyFill="1" applyBorder="1" applyAlignment="1">
      <alignment vertical="center" wrapText="1"/>
    </xf>
    <xf numFmtId="165" fontId="20" fillId="0" borderId="1" xfId="1" applyNumberFormat="1" applyFont="1" applyFill="1" applyBorder="1" applyAlignment="1">
      <alignment vertical="center" wrapText="1"/>
    </xf>
    <xf numFmtId="165" fontId="20" fillId="0" borderId="1" xfId="1" applyNumberFormat="1" applyFont="1" applyFill="1" applyBorder="1" applyAlignment="1"/>
    <xf numFmtId="165" fontId="20" fillId="0" borderId="30" xfId="1" applyNumberFormat="1" applyFont="1" applyFill="1" applyBorder="1" applyAlignment="1">
      <alignment vertical="center"/>
    </xf>
    <xf numFmtId="0" fontId="7" fillId="0" borderId="0" xfId="0" applyFont="1" applyFill="1" applyAlignment="1"/>
    <xf numFmtId="0" fontId="23" fillId="0" borderId="0" xfId="0" applyFont="1" applyFill="1" applyAlignment="1"/>
    <xf numFmtId="0" fontId="24" fillId="0" borderId="0" xfId="0" applyFont="1" applyFill="1" applyAlignment="1"/>
    <xf numFmtId="165" fontId="20" fillId="0" borderId="1" xfId="1" applyNumberFormat="1" applyFont="1" applyFill="1" applyBorder="1" applyAlignment="1">
      <alignment vertical="center"/>
    </xf>
    <xf numFmtId="165" fontId="21" fillId="0" borderId="1" xfId="1" applyNumberFormat="1" applyFont="1" applyFill="1" applyBorder="1" applyAlignment="1">
      <alignment horizontal="left" vertical="center" wrapText="1" indent="4"/>
    </xf>
    <xf numFmtId="165" fontId="21" fillId="0" borderId="1" xfId="1" applyNumberFormat="1" applyFont="1" applyFill="1" applyBorder="1" applyAlignment="1">
      <alignment horizontal="left" indent="4"/>
    </xf>
    <xf numFmtId="165" fontId="21" fillId="0" borderId="1" xfId="1" applyNumberFormat="1" applyFont="1" applyFill="1" applyBorder="1" applyAlignment="1">
      <alignment horizontal="left" vertical="center" indent="4"/>
    </xf>
    <xf numFmtId="0" fontId="16" fillId="0" borderId="5" xfId="0" applyFont="1" applyFill="1" applyBorder="1" applyAlignment="1">
      <alignment vertical="center"/>
    </xf>
    <xf numFmtId="165" fontId="16" fillId="0" borderId="1" xfId="1" applyNumberFormat="1" applyFont="1" applyFill="1" applyBorder="1" applyAlignment="1">
      <alignment horizontal="right" vertical="center"/>
    </xf>
    <xf numFmtId="9" fontId="16" fillId="0" borderId="6" xfId="6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vertical="center"/>
    </xf>
    <xf numFmtId="165" fontId="16" fillId="0" borderId="8" xfId="1" applyNumberFormat="1" applyFont="1" applyFill="1" applyBorder="1" applyAlignment="1">
      <alignment horizontal="right" vertical="center"/>
    </xf>
    <xf numFmtId="165" fontId="16" fillId="0" borderId="8" xfId="1" applyNumberFormat="1" applyFont="1" applyFill="1" applyBorder="1" applyAlignment="1">
      <alignment horizontal="right" vertical="center" wrapText="1"/>
    </xf>
    <xf numFmtId="9" fontId="16" fillId="0" borderId="9" xfId="6" applyFont="1" applyFill="1" applyBorder="1" applyAlignment="1">
      <alignment horizontal="right" vertical="center" wrapText="1"/>
    </xf>
    <xf numFmtId="164" fontId="22" fillId="0" borderId="0" xfId="1" applyFont="1"/>
    <xf numFmtId="38" fontId="15" fillId="0" borderId="8" xfId="0" applyNumberFormat="1" applyFont="1" applyFill="1" applyBorder="1" applyAlignment="1">
      <alignment horizontal="right" vertical="top" wrapText="1"/>
    </xf>
    <xf numFmtId="0" fontId="15" fillId="5" borderId="4" xfId="0" applyFont="1" applyFill="1" applyBorder="1" applyAlignment="1">
      <alignment horizontal="right" vertical="top" wrapText="1"/>
    </xf>
    <xf numFmtId="0" fontId="15" fillId="5" borderId="6" xfId="0" applyFont="1" applyFill="1" applyBorder="1" applyAlignment="1">
      <alignment horizontal="right" vertical="top" wrapText="1"/>
    </xf>
    <xf numFmtId="0" fontId="15" fillId="5" borderId="38" xfId="0" applyFont="1" applyFill="1" applyBorder="1" applyAlignment="1">
      <alignment horizontal="right" vertical="top" wrapText="1"/>
    </xf>
    <xf numFmtId="38" fontId="15" fillId="0" borderId="41" xfId="0" applyNumberFormat="1" applyFont="1" applyFill="1" applyBorder="1" applyAlignment="1">
      <alignment horizontal="right" vertical="top" wrapText="1"/>
    </xf>
    <xf numFmtId="0" fontId="15" fillId="5" borderId="37" xfId="0" applyFont="1" applyFill="1" applyBorder="1" applyAlignment="1">
      <alignment horizontal="right" vertical="top" wrapText="1"/>
    </xf>
    <xf numFmtId="165" fontId="20" fillId="0" borderId="1" xfId="1" applyNumberFormat="1" applyFont="1" applyFill="1" applyBorder="1" applyAlignment="1">
      <alignment horizontal="left" indent="4"/>
    </xf>
    <xf numFmtId="165" fontId="25" fillId="0" borderId="1" xfId="1" applyNumberFormat="1" applyFont="1" applyBorder="1"/>
    <xf numFmtId="0" fontId="15" fillId="2" borderId="42" xfId="0" applyFont="1" applyFill="1" applyBorder="1" applyAlignment="1">
      <alignment vertical="center"/>
    </xf>
    <xf numFmtId="0" fontId="15" fillId="2" borderId="42" xfId="0" applyFont="1" applyFill="1" applyBorder="1" applyAlignment="1">
      <alignment horizontal="right" vertical="center" wrapText="1"/>
    </xf>
    <xf numFmtId="0" fontId="15" fillId="2" borderId="44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vertical="center"/>
    </xf>
    <xf numFmtId="165" fontId="17" fillId="0" borderId="3" xfId="1" applyNumberFormat="1" applyFont="1" applyBorder="1"/>
    <xf numFmtId="165" fontId="16" fillId="0" borderId="3" xfId="1" applyNumberFormat="1" applyFont="1" applyFill="1" applyBorder="1" applyAlignment="1">
      <alignment horizontal="right" vertical="center"/>
    </xf>
    <xf numFmtId="165" fontId="16" fillId="0" borderId="3" xfId="1" applyNumberFormat="1" applyFont="1" applyFill="1" applyBorder="1" applyAlignment="1">
      <alignment horizontal="right" vertical="center" wrapText="1"/>
    </xf>
    <xf numFmtId="9" fontId="16" fillId="0" borderId="4" xfId="6" applyFont="1" applyFill="1" applyBorder="1" applyAlignment="1">
      <alignment horizontal="right" vertical="center" wrapText="1"/>
    </xf>
    <xf numFmtId="165" fontId="25" fillId="0" borderId="8" xfId="1" applyNumberFormat="1" applyFont="1" applyBorder="1"/>
    <xf numFmtId="0" fontId="15" fillId="2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25" xfId="0" applyFont="1" applyFill="1" applyBorder="1" applyAlignment="1">
      <alignment horizontal="right" vertical="center" wrapText="1"/>
    </xf>
    <xf numFmtId="0" fontId="15" fillId="2" borderId="36" xfId="0" applyFont="1" applyFill="1" applyBorder="1" applyAlignment="1">
      <alignment horizontal="right" vertical="center" wrapText="1"/>
    </xf>
    <xf numFmtId="0" fontId="15" fillId="2" borderId="43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right" vertical="center"/>
    </xf>
    <xf numFmtId="0" fontId="15" fillId="2" borderId="25" xfId="0" applyFont="1" applyFill="1" applyBorder="1" applyAlignment="1">
      <alignment horizontal="right" vertical="center"/>
    </xf>
    <xf numFmtId="0" fontId="16" fillId="5" borderId="32" xfId="0" applyFont="1" applyFill="1" applyBorder="1" applyAlignment="1">
      <alignment horizontal="left" vertical="top" wrapText="1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8" fillId="4" borderId="16" xfId="0" applyFont="1" applyFill="1" applyBorder="1" applyAlignment="1">
      <alignment horizontal="center" vertical="top" wrapText="1"/>
    </xf>
    <xf numFmtId="164" fontId="10" fillId="4" borderId="16" xfId="1" applyFont="1" applyFill="1" applyBorder="1" applyAlignment="1">
      <alignment horizontal="center" vertical="top" wrapText="1"/>
    </xf>
    <xf numFmtId="0" fontId="19" fillId="5" borderId="16" xfId="0" applyFont="1" applyFill="1" applyBorder="1" applyAlignment="1">
      <alignment horizontal="center" vertical="top" wrapText="1"/>
    </xf>
    <xf numFmtId="164" fontId="15" fillId="5" borderId="16" xfId="1" applyFont="1" applyFill="1" applyBorder="1" applyAlignment="1">
      <alignment horizontal="center" vertical="top" wrapText="1"/>
    </xf>
    <xf numFmtId="165" fontId="20" fillId="5" borderId="28" xfId="1" applyNumberFormat="1" applyFont="1" applyFill="1" applyBorder="1" applyAlignment="1">
      <alignment horizontal="right" vertical="top" wrapText="1"/>
    </xf>
    <xf numFmtId="166" fontId="20" fillId="5" borderId="28" xfId="1" applyNumberFormat="1" applyFont="1" applyFill="1" applyBorder="1" applyAlignment="1">
      <alignment horizontal="right" vertical="top" wrapText="1"/>
    </xf>
    <xf numFmtId="166" fontId="20" fillId="5" borderId="29" xfId="1" applyNumberFormat="1" applyFont="1" applyFill="1" applyBorder="1" applyAlignment="1">
      <alignment horizontal="right" vertical="top" wrapText="1"/>
    </xf>
    <xf numFmtId="165" fontId="20" fillId="5" borderId="1" xfId="1" applyNumberFormat="1" applyFont="1" applyFill="1" applyBorder="1" applyAlignment="1">
      <alignment horizontal="right" vertical="top" wrapText="1"/>
    </xf>
    <xf numFmtId="165" fontId="20" fillId="0" borderId="1" xfId="1" applyNumberFormat="1" applyFont="1" applyFill="1" applyBorder="1" applyAlignment="1">
      <alignment horizontal="right" vertical="top" wrapText="1"/>
    </xf>
    <xf numFmtId="165" fontId="21" fillId="0" borderId="1" xfId="1" applyNumberFormat="1" applyFont="1" applyFill="1" applyBorder="1" applyAlignment="1">
      <alignment horizontal="right" vertical="top" wrapText="1"/>
    </xf>
    <xf numFmtId="165" fontId="21" fillId="0" borderId="1" xfId="1" applyNumberFormat="1" applyFont="1" applyFill="1" applyBorder="1" applyAlignment="1">
      <alignment horizontal="right" vertical="top"/>
    </xf>
    <xf numFmtId="165" fontId="20" fillId="0" borderId="1" xfId="1" applyNumberFormat="1" applyFont="1" applyFill="1" applyBorder="1" applyAlignment="1">
      <alignment horizontal="right" vertical="top"/>
    </xf>
    <xf numFmtId="165" fontId="20" fillId="0" borderId="31" xfId="1" applyNumberFormat="1" applyFont="1" applyFill="1" applyBorder="1" applyAlignment="1">
      <alignment horizontal="right" vertical="top"/>
    </xf>
  </cellXfs>
  <cellStyles count="7">
    <cellStyle name="Comma" xfId="1" builtinId="3"/>
    <cellStyle name="Comma 2" xfId="2" xr:uid="{705C2FAA-222A-407C-8E15-749D382F6A0A}"/>
    <cellStyle name="Comma 3" xfId="4" xr:uid="{0E0836DA-4911-4F46-A493-C91A1DBA8F8F}"/>
    <cellStyle name="Normal" xfId="0" builtinId="0"/>
    <cellStyle name="Normal 2" xfId="5" xr:uid="{00DDE63A-7E15-42D8-A070-60FED3633483}"/>
    <cellStyle name="Normal 7" xfId="3" xr:uid="{D76EA471-6122-4B23-BFBD-5BB76819DE75}"/>
    <cellStyle name="Percent" xfId="6" builtinId="5"/>
  </cellStyles>
  <dxfs count="0"/>
  <tableStyles count="0" defaultTableStyle="TableStyleMedium2" defaultPivotStyle="PivotStyleLight16"/>
  <colors>
    <mruColors>
      <color rgb="FFFF3399"/>
      <color rgb="FFCC00CC"/>
      <color rgb="FF572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2BED-DD35-4DFF-ABF2-326AA5B48F65}">
  <dimension ref="B3:C8"/>
  <sheetViews>
    <sheetView workbookViewId="0">
      <selection activeCell="F9" sqref="F8:F9"/>
    </sheetView>
  </sheetViews>
  <sheetFormatPr defaultRowHeight="14.25" x14ac:dyDescent="0.45"/>
  <cols>
    <col min="3" max="3" width="53.796875" bestFit="1" customWidth="1"/>
  </cols>
  <sheetData>
    <row r="3" spans="2:3" x14ac:dyDescent="0.45">
      <c r="B3" t="str">
        <f>'Table 1'!B1</f>
        <v>Table 1</v>
      </c>
      <c r="C3" t="str">
        <f>'Table 1'!C1</f>
        <v>Member States and Grants receipts (2007 2019)</v>
      </c>
    </row>
    <row r="4" spans="2:3" x14ac:dyDescent="0.45">
      <c r="B4" t="str">
        <f>'Table 2'!A1</f>
        <v>Table 2</v>
      </c>
      <c r="C4" t="str">
        <f>'Table 2'!B1</f>
        <v>COMESA cash transfer summary to Member States (2010 - 2019)</v>
      </c>
    </row>
    <row r="5" spans="2:3" x14ac:dyDescent="0.45">
      <c r="B5" t="str">
        <f>'Table 3'!B1</f>
        <v>Table 3</v>
      </c>
      <c r="C5" t="str">
        <f>'Table 3'!C1</f>
        <v>Yearly receipts of assessed annual contributions (2007 - 2019)</v>
      </c>
    </row>
    <row r="6" spans="2:3" x14ac:dyDescent="0.45">
      <c r="B6" t="str">
        <f>'Table 4'!B1</f>
        <v>Table 4</v>
      </c>
      <c r="C6" t="str">
        <f>'Table 4'!C1</f>
        <v>COMESA cash transfer per project to Member States (2010 - 2019)</v>
      </c>
    </row>
    <row r="7" spans="2:3" x14ac:dyDescent="0.45">
      <c r="B7" t="str">
        <f>'Table 5'!B1</f>
        <v xml:space="preserve">Table 5 </v>
      </c>
      <c r="C7" t="str">
        <f>'Table 5'!C1</f>
        <v>COMESA Grant agreements and yearly receipts (2005 - 2019)</v>
      </c>
    </row>
    <row r="8" spans="2:3" x14ac:dyDescent="0.45">
      <c r="B8" t="str">
        <f>'Tabl 6'!B1</f>
        <v xml:space="preserve">Table 6 </v>
      </c>
      <c r="C8" t="str">
        <f>'Tabl 6'!C1</f>
        <v>COMESA Technical assistance to MS (2018 - 2019)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7CF9-E876-4F28-A4BD-F7D8F57BDE47}">
  <sheetPr>
    <pageSetUpPr fitToPage="1"/>
  </sheetPr>
  <dimension ref="B1:R7"/>
  <sheetViews>
    <sheetView tabSelected="1" topLeftCell="K1" zoomScale="58" zoomScaleNormal="80" zoomScaleSheetLayoutView="152" workbookViewId="0">
      <selection activeCell="R15" sqref="R15"/>
    </sheetView>
  </sheetViews>
  <sheetFormatPr defaultRowHeight="14.25" x14ac:dyDescent="0.45"/>
  <cols>
    <col min="1" max="1" width="3.59765625" customWidth="1"/>
    <col min="2" max="2" width="13.19921875" customWidth="1"/>
    <col min="3" max="3" width="8.796875" bestFit="1" customWidth="1"/>
    <col min="4" max="4" width="8.19921875" bestFit="1" customWidth="1"/>
    <col min="5" max="5" width="8.796875" bestFit="1" customWidth="1"/>
    <col min="6" max="12" width="9" bestFit="1" customWidth="1"/>
    <col min="13" max="13" width="8.796875" bestFit="1" customWidth="1"/>
    <col min="14" max="14" width="9.59765625" bestFit="1" customWidth="1"/>
    <col min="15" max="16" width="8.59765625" bestFit="1" customWidth="1"/>
    <col min="17" max="17" width="13.19921875" customWidth="1"/>
    <col min="18" max="18" width="13.1328125" customWidth="1"/>
  </cols>
  <sheetData>
    <row r="1" spans="2:18" ht="14.65" thickBot="1" x14ac:dyDescent="0.5">
      <c r="B1" s="109" t="s">
        <v>159</v>
      </c>
      <c r="C1" s="109" t="s">
        <v>160</v>
      </c>
      <c r="D1" s="54"/>
      <c r="E1" s="54"/>
      <c r="F1" s="54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2:18" ht="14.65" thickTop="1" x14ac:dyDescent="0.45">
      <c r="B2" s="41" t="s">
        <v>0</v>
      </c>
      <c r="C2" s="154" t="s">
        <v>178</v>
      </c>
      <c r="D2" s="154">
        <v>2008</v>
      </c>
      <c r="E2" s="154">
        <v>2009</v>
      </c>
      <c r="F2" s="154">
        <v>2010</v>
      </c>
      <c r="G2" s="154">
        <v>2011</v>
      </c>
      <c r="H2" s="154">
        <v>2012</v>
      </c>
      <c r="I2" s="154">
        <v>2013</v>
      </c>
      <c r="J2" s="154">
        <v>2014</v>
      </c>
      <c r="K2" s="154">
        <v>2015</v>
      </c>
      <c r="L2" s="154">
        <v>2016</v>
      </c>
      <c r="M2" s="154">
        <v>2017</v>
      </c>
      <c r="N2" s="154" t="s">
        <v>60</v>
      </c>
      <c r="O2" s="150">
        <v>2018</v>
      </c>
      <c r="P2" s="152">
        <v>2019</v>
      </c>
      <c r="Q2" s="148" t="s">
        <v>61</v>
      </c>
      <c r="R2" s="149"/>
    </row>
    <row r="3" spans="2:18" ht="14.65" thickBot="1" x14ac:dyDescent="0.5">
      <c r="B3" s="139" t="s">
        <v>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1"/>
      <c r="P3" s="153"/>
      <c r="Q3" s="140" t="s">
        <v>171</v>
      </c>
      <c r="R3" s="141" t="s">
        <v>172</v>
      </c>
    </row>
    <row r="4" spans="2:18" ht="14.65" thickTop="1" x14ac:dyDescent="0.45">
      <c r="B4" s="142" t="s">
        <v>2</v>
      </c>
      <c r="C4" s="143">
        <f>'Table 5'!D45+'Table 5'!E45+'Table 5'!F45</f>
        <v>17277200</v>
      </c>
      <c r="D4" s="143">
        <f>'Table 5'!G45</f>
        <v>11495378</v>
      </c>
      <c r="E4" s="143">
        <f>'Table 5'!H45</f>
        <v>36254505</v>
      </c>
      <c r="F4" s="143">
        <f>'Table 5'!I45</f>
        <v>15794134</v>
      </c>
      <c r="G4" s="143">
        <f>'Table 5'!J45</f>
        <v>38867731</v>
      </c>
      <c r="H4" s="143">
        <f>'Table 5'!K45</f>
        <v>32239877</v>
      </c>
      <c r="I4" s="143">
        <f>'Table 5'!L45</f>
        <v>46189701</v>
      </c>
      <c r="J4" s="143">
        <f>'Table 5'!M45</f>
        <v>32835425</v>
      </c>
      <c r="K4" s="143">
        <f>'Table 5'!N45</f>
        <v>27224730</v>
      </c>
      <c r="L4" s="143">
        <f>'Table 5'!O45</f>
        <v>24897663.134999998</v>
      </c>
      <c r="M4" s="143">
        <f>'Table 5'!P45</f>
        <v>17617595.789999999</v>
      </c>
      <c r="N4" s="144">
        <f>SUM(C4:M4)</f>
        <v>300693939.92500001</v>
      </c>
      <c r="O4" s="145">
        <f>'Table 5'!R45</f>
        <v>20754479</v>
      </c>
      <c r="P4" s="145">
        <f>'Table 5'!S45</f>
        <v>52163525</v>
      </c>
      <c r="Q4" s="145">
        <f>N4+O4+P4</f>
        <v>373611943.92500001</v>
      </c>
      <c r="R4" s="146">
        <f>Q4/Q6</f>
        <v>0.74885645149035385</v>
      </c>
    </row>
    <row r="5" spans="2:18" x14ac:dyDescent="0.45">
      <c r="B5" s="123" t="s">
        <v>3</v>
      </c>
      <c r="C5" s="138">
        <f>'Table 3'!C22</f>
        <v>5852937</v>
      </c>
      <c r="D5" s="138">
        <f>'Table 3'!D22</f>
        <v>5067146</v>
      </c>
      <c r="E5" s="138">
        <f>'Table 3'!E22</f>
        <v>9264925</v>
      </c>
      <c r="F5" s="138">
        <f>'Table 3'!F22</f>
        <v>12205283</v>
      </c>
      <c r="G5" s="138">
        <f>'Table 3'!G22</f>
        <v>11950661</v>
      </c>
      <c r="H5" s="138">
        <f>'Table 3'!H22</f>
        <v>12192452</v>
      </c>
      <c r="I5" s="138">
        <f>'Table 3'!I22</f>
        <v>13347271</v>
      </c>
      <c r="J5" s="138">
        <f>'Table 3'!J22</f>
        <v>10360456</v>
      </c>
      <c r="K5" s="138">
        <f>'Table 3'!K22</f>
        <v>13998611</v>
      </c>
      <c r="L5" s="138">
        <f>'Table 3'!L22</f>
        <v>10593963</v>
      </c>
      <c r="M5" s="138">
        <f>'Table 3'!M22</f>
        <v>7866388</v>
      </c>
      <c r="N5" s="124">
        <f>SUM(C5:M5)</f>
        <v>112700093</v>
      </c>
      <c r="O5" s="138">
        <f>'Table 3'!O22</f>
        <v>8143813.2999999998</v>
      </c>
      <c r="P5" s="138">
        <f>'Table 3'!P22</f>
        <v>4454112</v>
      </c>
      <c r="Q5" s="60">
        <f t="shared" ref="Q5:Q6" si="0">N5+O5+P5</f>
        <v>125298018.3</v>
      </c>
      <c r="R5" s="125">
        <f>Q5/Q6</f>
        <v>0.2511435485096461</v>
      </c>
    </row>
    <row r="6" spans="2:18" ht="14.65" thickBot="1" x14ac:dyDescent="0.5">
      <c r="B6" s="126" t="s">
        <v>4</v>
      </c>
      <c r="C6" s="147">
        <f>C5+C4</f>
        <v>23130137</v>
      </c>
      <c r="D6" s="147">
        <f t="shared" ref="D6:M6" si="1">D5+D4</f>
        <v>16562524</v>
      </c>
      <c r="E6" s="147">
        <f t="shared" si="1"/>
        <v>45519430</v>
      </c>
      <c r="F6" s="147">
        <f t="shared" si="1"/>
        <v>27999417</v>
      </c>
      <c r="G6" s="147">
        <f t="shared" si="1"/>
        <v>50818392</v>
      </c>
      <c r="H6" s="147">
        <f t="shared" si="1"/>
        <v>44432329</v>
      </c>
      <c r="I6" s="147">
        <f t="shared" si="1"/>
        <v>59536972</v>
      </c>
      <c r="J6" s="147">
        <f t="shared" si="1"/>
        <v>43195881</v>
      </c>
      <c r="K6" s="147">
        <f t="shared" si="1"/>
        <v>41223341</v>
      </c>
      <c r="L6" s="147">
        <f t="shared" si="1"/>
        <v>35491626.134999998</v>
      </c>
      <c r="M6" s="147">
        <f t="shared" si="1"/>
        <v>25483983.789999999</v>
      </c>
      <c r="N6" s="127">
        <f t="shared" ref="N6" si="2">SUM(C6:M6)</f>
        <v>413394032.92500001</v>
      </c>
      <c r="O6" s="128">
        <f t="shared" ref="O6:P6" si="3">O5+O4</f>
        <v>28898292.300000001</v>
      </c>
      <c r="P6" s="128">
        <f t="shared" si="3"/>
        <v>56617637</v>
      </c>
      <c r="Q6" s="128">
        <f t="shared" si="0"/>
        <v>498909962.22500002</v>
      </c>
      <c r="R6" s="129">
        <f>R5+R4</f>
        <v>1</v>
      </c>
    </row>
    <row r="7" spans="2:18" ht="14.65" thickTop="1" x14ac:dyDescent="0.45"/>
  </sheetData>
  <mergeCells count="15">
    <mergeCell ref="H2:H3"/>
    <mergeCell ref="C2:C3"/>
    <mergeCell ref="D2:D3"/>
    <mergeCell ref="E2:E3"/>
    <mergeCell ref="F2:F3"/>
    <mergeCell ref="G2:G3"/>
    <mergeCell ref="Q2:R2"/>
    <mergeCell ref="O2:O3"/>
    <mergeCell ref="P2:P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95CA-251E-4C38-8BD0-FB0BEE10BE85}">
  <sheetPr>
    <pageSetUpPr fitToPage="1"/>
  </sheetPr>
  <dimension ref="A1:G25"/>
  <sheetViews>
    <sheetView topLeftCell="C3" zoomScale="59" zoomScaleNormal="90" zoomScaleSheetLayoutView="100" workbookViewId="0">
      <selection activeCell="C3" sqref="A1:XFD1048576"/>
    </sheetView>
  </sheetViews>
  <sheetFormatPr defaultColWidth="9.1328125" defaultRowHeight="14.25" x14ac:dyDescent="0.45"/>
  <cols>
    <col min="1" max="1" width="18.46484375" style="1" customWidth="1"/>
    <col min="2" max="2" width="13.3984375" style="1" customWidth="1"/>
    <col min="3" max="3" width="12.06640625" style="1" customWidth="1"/>
    <col min="4" max="4" width="9.53125" style="1" customWidth="1"/>
    <col min="5" max="5" width="11.46484375" style="1" customWidth="1"/>
    <col min="6" max="6" width="12.06640625" style="1" customWidth="1"/>
    <col min="7" max="7" width="11.19921875" style="1" bestFit="1" customWidth="1"/>
    <col min="8" max="16384" width="9.1328125" style="1"/>
  </cols>
  <sheetData>
    <row r="1" spans="1:7" ht="14.65" thickBot="1" x14ac:dyDescent="0.5">
      <c r="A1" s="110" t="s">
        <v>161</v>
      </c>
      <c r="B1" s="110" t="s">
        <v>165</v>
      </c>
      <c r="C1" s="42"/>
      <c r="D1" s="42"/>
      <c r="E1" s="42"/>
      <c r="F1" s="42"/>
      <c r="G1" s="42"/>
    </row>
    <row r="2" spans="1:7" ht="51.4" thickTop="1" x14ac:dyDescent="0.45">
      <c r="A2" s="156" t="s">
        <v>150</v>
      </c>
      <c r="B2" s="47" t="s">
        <v>151</v>
      </c>
      <c r="C2" s="47" t="s">
        <v>152</v>
      </c>
      <c r="D2" s="47" t="s">
        <v>173</v>
      </c>
      <c r="E2" s="47" t="s">
        <v>151</v>
      </c>
      <c r="F2" s="47" t="s">
        <v>152</v>
      </c>
      <c r="G2" s="132" t="s">
        <v>173</v>
      </c>
    </row>
    <row r="3" spans="1:7" x14ac:dyDescent="0.45">
      <c r="A3" s="157"/>
      <c r="B3" s="48" t="s">
        <v>153</v>
      </c>
      <c r="C3" s="48" t="s">
        <v>153</v>
      </c>
      <c r="D3" s="48" t="s">
        <v>153</v>
      </c>
      <c r="E3" s="48" t="s">
        <v>154</v>
      </c>
      <c r="F3" s="48" t="s">
        <v>154</v>
      </c>
      <c r="G3" s="133" t="s">
        <v>155</v>
      </c>
    </row>
    <row r="4" spans="1:7" x14ac:dyDescent="0.45">
      <c r="A4" s="158"/>
      <c r="B4" s="48" t="s">
        <v>5</v>
      </c>
      <c r="C4" s="48" t="s">
        <v>5</v>
      </c>
      <c r="D4" s="48" t="s">
        <v>5</v>
      </c>
      <c r="E4" s="48" t="s">
        <v>6</v>
      </c>
      <c r="F4" s="48" t="s">
        <v>6</v>
      </c>
      <c r="G4" s="136"/>
    </row>
    <row r="5" spans="1:7" ht="25.9" thickBot="1" x14ac:dyDescent="0.5">
      <c r="A5" s="52" t="s">
        <v>134</v>
      </c>
      <c r="B5" s="53" t="s">
        <v>135</v>
      </c>
      <c r="C5" s="53" t="s">
        <v>136</v>
      </c>
      <c r="D5" s="53" t="s">
        <v>137</v>
      </c>
      <c r="E5" s="53" t="s">
        <v>138</v>
      </c>
      <c r="F5" s="53" t="s">
        <v>139</v>
      </c>
      <c r="G5" s="134" t="s">
        <v>140</v>
      </c>
    </row>
    <row r="6" spans="1:7" ht="14.65" thickTop="1" x14ac:dyDescent="0.45">
      <c r="A6" s="49" t="s">
        <v>7</v>
      </c>
      <c r="B6" s="50">
        <f>'Table 4'!K4</f>
        <v>21090589</v>
      </c>
      <c r="C6" s="50">
        <f>'Table 3'!N3</f>
        <v>3189683</v>
      </c>
      <c r="D6" s="50">
        <f>C6-B6</f>
        <v>-17900906</v>
      </c>
      <c r="E6" s="51">
        <f>SUM('Table 4'!L4:Q4)</f>
        <v>930177.02280000015</v>
      </c>
      <c r="F6" s="51">
        <f>'Table 3'!O3+'Table 3'!P3</f>
        <v>0</v>
      </c>
      <c r="G6" s="135">
        <f>F6-E6+(D6)</f>
        <v>-18831083.022799999</v>
      </c>
    </row>
    <row r="7" spans="1:7" x14ac:dyDescent="0.45">
      <c r="A7" s="44" t="s">
        <v>8</v>
      </c>
      <c r="B7" s="50">
        <f>'Table 4'!K5</f>
        <v>2347610</v>
      </c>
      <c r="C7" s="50">
        <f>'Table 3'!N4</f>
        <v>756184</v>
      </c>
      <c r="D7" s="50">
        <f t="shared" ref="D7:D24" si="0">C7-B7</f>
        <v>-1591426</v>
      </c>
      <c r="E7" s="43">
        <f>SUM('Table 4'!L5:Q5)</f>
        <v>1158535</v>
      </c>
      <c r="F7" s="43">
        <f>'Table 3'!O4+'Table 3'!P4</f>
        <v>0</v>
      </c>
      <c r="G7" s="135">
        <f t="shared" ref="G7:G24" si="1">F7-E7+(D7)</f>
        <v>-2749961</v>
      </c>
    </row>
    <row r="8" spans="1:7" x14ac:dyDescent="0.45">
      <c r="A8" s="44" t="s">
        <v>9</v>
      </c>
      <c r="B8" s="50">
        <f>'Table 4'!K6</f>
        <v>768677</v>
      </c>
      <c r="C8" s="50">
        <f>'Table 3'!N5</f>
        <v>11264698</v>
      </c>
      <c r="D8" s="50">
        <f t="shared" si="0"/>
        <v>10496021</v>
      </c>
      <c r="E8" s="43">
        <f>SUM('Table 4'!L6:Q6)</f>
        <v>163394.29999999999</v>
      </c>
      <c r="F8" s="43">
        <f>'Table 3'!O5+'Table 3'!P5</f>
        <v>19396</v>
      </c>
      <c r="G8" s="135">
        <f t="shared" si="1"/>
        <v>10352022.699999999</v>
      </c>
    </row>
    <row r="9" spans="1:7" x14ac:dyDescent="0.45">
      <c r="A9" s="44" t="s">
        <v>10</v>
      </c>
      <c r="B9" s="50">
        <f>'Table 4'!K7</f>
        <v>1898168</v>
      </c>
      <c r="C9" s="50">
        <f>'Table 3'!N6</f>
        <v>996654</v>
      </c>
      <c r="D9" s="50">
        <f t="shared" si="0"/>
        <v>-901514</v>
      </c>
      <c r="E9" s="43">
        <f>SUM('Table 4'!L7:Q7)</f>
        <v>1099691.71</v>
      </c>
      <c r="F9" s="43">
        <f>'Table 3'!O6+'Table 3'!P6</f>
        <v>0</v>
      </c>
      <c r="G9" s="135">
        <f t="shared" si="1"/>
        <v>-2001205.71</v>
      </c>
    </row>
    <row r="10" spans="1:7" x14ac:dyDescent="0.45">
      <c r="A10" s="44" t="s">
        <v>11</v>
      </c>
      <c r="B10" s="50">
        <f>'Table 4'!K8</f>
        <v>1909353</v>
      </c>
      <c r="C10" s="50">
        <f>'Table 3'!N7</f>
        <v>15727472</v>
      </c>
      <c r="D10" s="50">
        <f t="shared" si="0"/>
        <v>13818119</v>
      </c>
      <c r="E10" s="43">
        <f>SUM('Table 4'!L8:Q8)</f>
        <v>2000</v>
      </c>
      <c r="F10" s="43">
        <f>'Table 3'!O7+'Table 3'!P7</f>
        <v>4017438</v>
      </c>
      <c r="G10" s="135">
        <f t="shared" si="1"/>
        <v>17833557</v>
      </c>
    </row>
    <row r="11" spans="1:7" x14ac:dyDescent="0.45">
      <c r="A11" s="44" t="s">
        <v>12</v>
      </c>
      <c r="B11" s="50">
        <f>'Table 4'!K9</f>
        <v>93100</v>
      </c>
      <c r="C11" s="50">
        <f>'Table 3'!N8</f>
        <v>979094</v>
      </c>
      <c r="D11" s="50">
        <f t="shared" si="0"/>
        <v>885994</v>
      </c>
      <c r="E11" s="43">
        <f>SUM('Table 4'!L9:Q9)</f>
        <v>5643.32</v>
      </c>
      <c r="F11" s="43">
        <f>'Table 3'!O8+'Table 3'!P8</f>
        <v>1583</v>
      </c>
      <c r="G11" s="135">
        <f t="shared" si="1"/>
        <v>881933.68</v>
      </c>
    </row>
    <row r="12" spans="1:7" x14ac:dyDescent="0.45">
      <c r="A12" s="44" t="s">
        <v>13</v>
      </c>
      <c r="B12" s="50">
        <f>'Table 4'!K10</f>
        <v>4851556</v>
      </c>
      <c r="C12" s="50">
        <f>'Table 3'!N9</f>
        <v>7653014</v>
      </c>
      <c r="D12" s="50">
        <f t="shared" si="0"/>
        <v>2801458</v>
      </c>
      <c r="E12" s="43">
        <f>SUM('Table 4'!L10:Q10)</f>
        <v>431906.41000000003</v>
      </c>
      <c r="F12" s="43">
        <f>'Table 3'!O9+'Table 3'!P9</f>
        <v>955113</v>
      </c>
      <c r="G12" s="135">
        <f t="shared" si="1"/>
        <v>3324664.59</v>
      </c>
    </row>
    <row r="13" spans="1:7" x14ac:dyDescent="0.45">
      <c r="A13" s="44" t="s">
        <v>14</v>
      </c>
      <c r="B13" s="50">
        <f>'Table 4'!K11</f>
        <v>13580979</v>
      </c>
      <c r="C13" s="50">
        <f>'Table 3'!N10</f>
        <v>12987557</v>
      </c>
      <c r="D13" s="50">
        <f t="shared" si="0"/>
        <v>-593422</v>
      </c>
      <c r="E13" s="43">
        <f>SUM('Table 4'!L11:Q11)</f>
        <v>45721.33</v>
      </c>
      <c r="F13" s="43">
        <f>'Table 3'!O10+'Table 3'!P10</f>
        <v>2898682</v>
      </c>
      <c r="G13" s="135">
        <f t="shared" si="1"/>
        <v>2259538.67</v>
      </c>
    </row>
    <row r="14" spans="1:7" x14ac:dyDescent="0.45">
      <c r="A14" s="44" t="s">
        <v>15</v>
      </c>
      <c r="B14" s="50">
        <v>0</v>
      </c>
      <c r="C14" s="50">
        <f>'Table 3'!N11</f>
        <v>10227299</v>
      </c>
      <c r="D14" s="50">
        <f t="shared" si="0"/>
        <v>10227299</v>
      </c>
      <c r="E14" s="43">
        <f>SUM('Table 4'!L12:Q12)</f>
        <v>1970384.9000000001</v>
      </c>
      <c r="F14" s="43">
        <f>'Table 3'!O11+'Table 3'!P11</f>
        <v>0</v>
      </c>
      <c r="G14" s="135">
        <f t="shared" si="1"/>
        <v>8256914.0999999996</v>
      </c>
    </row>
    <row r="15" spans="1:7" x14ac:dyDescent="0.45">
      <c r="A15" s="44" t="s">
        <v>16</v>
      </c>
      <c r="B15" s="50">
        <f>'Table 4'!K13</f>
        <v>1929734</v>
      </c>
      <c r="C15" s="50">
        <f>'Table 3'!N12</f>
        <v>5045722</v>
      </c>
      <c r="D15" s="50">
        <f t="shared" si="0"/>
        <v>3115988</v>
      </c>
      <c r="E15" s="43">
        <f>SUM('Table 4'!L13:Q13)</f>
        <v>0</v>
      </c>
      <c r="F15" s="43">
        <f>'Table 3'!O12+'Table 3'!P12</f>
        <v>1060515</v>
      </c>
      <c r="G15" s="135">
        <f t="shared" si="1"/>
        <v>4176503</v>
      </c>
    </row>
    <row r="16" spans="1:7" x14ac:dyDescent="0.45">
      <c r="A16" s="44" t="s">
        <v>17</v>
      </c>
      <c r="B16" s="50">
        <f>'Table 4'!K14</f>
        <v>4863000</v>
      </c>
      <c r="C16" s="50">
        <f>'Table 3'!N13</f>
        <v>4582277</v>
      </c>
      <c r="D16" s="50">
        <f t="shared" si="0"/>
        <v>-280723</v>
      </c>
      <c r="E16" s="43">
        <f>SUM('Table 4'!L14:Q14)</f>
        <v>371926.15</v>
      </c>
      <c r="F16" s="43">
        <f>'Table 3'!O13+'Table 3'!P13</f>
        <v>730925</v>
      </c>
      <c r="G16" s="135">
        <f t="shared" si="1"/>
        <v>78275.849999999977</v>
      </c>
    </row>
    <row r="17" spans="1:7" x14ac:dyDescent="0.45">
      <c r="A17" s="44" t="s">
        <v>18</v>
      </c>
      <c r="B17" s="50">
        <f>'Table 4'!K15</f>
        <v>5487198</v>
      </c>
      <c r="C17" s="50">
        <f>'Table 3'!N14</f>
        <v>8275744</v>
      </c>
      <c r="D17" s="50">
        <f t="shared" si="0"/>
        <v>2788546</v>
      </c>
      <c r="E17" s="43">
        <f>SUM('Table 4'!L15:Q15)</f>
        <v>1292536.4140000001</v>
      </c>
      <c r="F17" s="43">
        <f>'Table 3'!O14+'Table 3'!P14</f>
        <v>1507542</v>
      </c>
      <c r="G17" s="135">
        <f t="shared" si="1"/>
        <v>3003551.5860000001</v>
      </c>
    </row>
    <row r="18" spans="1:7" x14ac:dyDescent="0.45">
      <c r="A18" s="44" t="s">
        <v>19</v>
      </c>
      <c r="B18" s="50">
        <f>'Table 4'!K16</f>
        <v>32873343</v>
      </c>
      <c r="C18" s="50">
        <f>'Table 3'!N15</f>
        <v>3595151</v>
      </c>
      <c r="D18" s="50">
        <f t="shared" si="0"/>
        <v>-29278192</v>
      </c>
      <c r="E18" s="43">
        <f>SUM('Table 4'!L16:Q16)</f>
        <v>1464235.24</v>
      </c>
      <c r="F18" s="43">
        <f>'Table 3'!O15+'Table 3'!P15</f>
        <v>5899</v>
      </c>
      <c r="G18" s="135">
        <f t="shared" si="1"/>
        <v>-30736528.239999998</v>
      </c>
    </row>
    <row r="19" spans="1:7" x14ac:dyDescent="0.45">
      <c r="A19" s="44" t="s">
        <v>20</v>
      </c>
      <c r="B19" s="50">
        <f>'Table 4'!K17</f>
        <v>3557501</v>
      </c>
      <c r="C19" s="50">
        <f>'Table 3'!N16</f>
        <v>2083323</v>
      </c>
      <c r="D19" s="50">
        <f t="shared" si="0"/>
        <v>-1474178</v>
      </c>
      <c r="E19" s="43">
        <f>SUM('Table 4'!L17:Q17)</f>
        <v>931026.77000000014</v>
      </c>
      <c r="F19" s="43">
        <f>'Table 3'!O16+'Table 3'!P16</f>
        <v>417691</v>
      </c>
      <c r="G19" s="135">
        <f t="shared" si="1"/>
        <v>-1987513.77</v>
      </c>
    </row>
    <row r="20" spans="1:7" x14ac:dyDescent="0.45">
      <c r="A20" s="44" t="s">
        <v>21</v>
      </c>
      <c r="B20" s="50">
        <f>'Table 4'!K18</f>
        <v>582034</v>
      </c>
      <c r="C20" s="50">
        <f>'Table 3'!N17</f>
        <v>3345504</v>
      </c>
      <c r="D20" s="50">
        <f t="shared" si="0"/>
        <v>2763470</v>
      </c>
      <c r="E20" s="43">
        <f>SUM('Table 4'!L18:Q18)</f>
        <v>42456.92</v>
      </c>
      <c r="F20" s="43">
        <f>'Table 3'!O17+'Table 3'!P17</f>
        <v>0</v>
      </c>
      <c r="G20" s="135">
        <f t="shared" si="1"/>
        <v>2721013.08</v>
      </c>
    </row>
    <row r="21" spans="1:7" x14ac:dyDescent="0.45">
      <c r="A21" s="44" t="s">
        <v>22</v>
      </c>
      <c r="B21" s="50">
        <f>'Table 4'!K19</f>
        <v>4407789</v>
      </c>
      <c r="C21" s="50">
        <f>'Table 3'!N18</f>
        <v>3792595</v>
      </c>
      <c r="D21" s="50">
        <f t="shared" si="0"/>
        <v>-615194</v>
      </c>
      <c r="E21" s="43">
        <f>SUM('Table 4'!L19:Q19)</f>
        <v>132345</v>
      </c>
      <c r="F21" s="43">
        <f>'Table 3'!O18+'Table 3'!P18</f>
        <v>0</v>
      </c>
      <c r="G21" s="135">
        <f t="shared" si="1"/>
        <v>-747539</v>
      </c>
    </row>
    <row r="22" spans="1:7" x14ac:dyDescent="0.45">
      <c r="A22" s="44" t="s">
        <v>23</v>
      </c>
      <c r="B22" s="50">
        <f>'Table 4'!K20</f>
        <v>6916332</v>
      </c>
      <c r="C22" s="50">
        <f>'Table 3'!N19</f>
        <v>3251268</v>
      </c>
      <c r="D22" s="50">
        <f t="shared" si="0"/>
        <v>-3665064</v>
      </c>
      <c r="E22" s="43">
        <f>SUM('Table 4'!L20:Q20)</f>
        <v>943230.60000000009</v>
      </c>
      <c r="F22" s="43">
        <f>'Table 3'!O19+'Table 3'!P19</f>
        <v>0</v>
      </c>
      <c r="G22" s="135">
        <f t="shared" si="1"/>
        <v>-4608294.5999999996</v>
      </c>
    </row>
    <row r="23" spans="1:7" x14ac:dyDescent="0.45">
      <c r="A23" s="44" t="s">
        <v>24</v>
      </c>
      <c r="B23" s="50">
        <f>'Table 4'!K21</f>
        <v>9544216</v>
      </c>
      <c r="C23" s="50">
        <f>'Table 3'!N20</f>
        <v>6816335</v>
      </c>
      <c r="D23" s="50">
        <f t="shared" si="0"/>
        <v>-2727881</v>
      </c>
      <c r="E23" s="43">
        <f>SUM('Table 4'!L21:Q21)</f>
        <v>1119480.1280000003</v>
      </c>
      <c r="F23" s="43">
        <f>'Table 3'!O20+'Table 3'!P20</f>
        <v>933253.3</v>
      </c>
      <c r="G23" s="135">
        <f t="shared" si="1"/>
        <v>-2914107.8280000002</v>
      </c>
    </row>
    <row r="24" spans="1:7" x14ac:dyDescent="0.45">
      <c r="A24" s="44" t="s">
        <v>25</v>
      </c>
      <c r="B24" s="50">
        <f>'Table 4'!K22</f>
        <v>8787570</v>
      </c>
      <c r="C24" s="50">
        <f>'Table 3'!N21</f>
        <v>8130519</v>
      </c>
      <c r="D24" s="50">
        <f t="shared" si="0"/>
        <v>-657051</v>
      </c>
      <c r="E24" s="43">
        <f>SUM('Table 4'!L22:Q22)</f>
        <v>1060389.67</v>
      </c>
      <c r="F24" s="43">
        <f>'Table 3'!O21+'Table 3'!P21</f>
        <v>49888</v>
      </c>
      <c r="G24" s="135">
        <f t="shared" si="1"/>
        <v>-1667552.67</v>
      </c>
    </row>
    <row r="25" spans="1:7" ht="14.65" thickBot="1" x14ac:dyDescent="0.5">
      <c r="A25" s="45" t="s">
        <v>26</v>
      </c>
      <c r="B25" s="46">
        <f>SUM(B6:B24)</f>
        <v>125488749</v>
      </c>
      <c r="C25" s="46">
        <f t="shared" ref="C25:G25" si="2">SUM(C6:C24)</f>
        <v>112700093</v>
      </c>
      <c r="D25" s="46">
        <f t="shared" si="2"/>
        <v>-12788656</v>
      </c>
      <c r="E25" s="46">
        <f t="shared" si="2"/>
        <v>13165080.8848</v>
      </c>
      <c r="F25" s="46">
        <f t="shared" si="2"/>
        <v>12597925.300000001</v>
      </c>
      <c r="G25" s="131">
        <f t="shared" si="2"/>
        <v>-13355811.584799998</v>
      </c>
    </row>
  </sheetData>
  <mergeCells count="1">
    <mergeCell ref="A2:A4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2311A-4D24-47E5-9550-E8BEA1278BFD}">
  <sheetPr>
    <pageSetUpPr fitToPage="1"/>
  </sheetPr>
  <dimension ref="A1:R24"/>
  <sheetViews>
    <sheetView zoomScale="58" zoomScaleNormal="163" zoomScaleSheetLayoutView="124" workbookViewId="0">
      <selection activeCell="S20" sqref="S20"/>
    </sheetView>
  </sheetViews>
  <sheetFormatPr defaultRowHeight="14.25" x14ac:dyDescent="0.45"/>
  <cols>
    <col min="1" max="1" width="2.86328125" customWidth="1"/>
    <col min="2" max="2" width="13.3984375" bestFit="1" customWidth="1"/>
    <col min="3" max="3" width="10.265625" bestFit="1" customWidth="1"/>
    <col min="4" max="4" width="9" bestFit="1" customWidth="1"/>
    <col min="5" max="5" width="12.33203125" bestFit="1" customWidth="1"/>
    <col min="6" max="6" width="9" bestFit="1" customWidth="1"/>
    <col min="7" max="7" width="11.53125" bestFit="1" customWidth="1"/>
    <col min="8" max="8" width="10.265625" bestFit="1" customWidth="1"/>
    <col min="9" max="9" width="12.33203125" bestFit="1" customWidth="1"/>
    <col min="10" max="10" width="11.1328125" bestFit="1" customWidth="1"/>
    <col min="11" max="11" width="9.86328125" bestFit="1" customWidth="1"/>
    <col min="12" max="12" width="11.1328125" bestFit="1" customWidth="1"/>
    <col min="13" max="13" width="8.19921875" bestFit="1" customWidth="1"/>
    <col min="14" max="14" width="9.86328125" bestFit="1" customWidth="1"/>
    <col min="15" max="15" width="8.19921875" style="35" bestFit="1" customWidth="1"/>
    <col min="16" max="16" width="8.59765625" style="35" bestFit="1" customWidth="1"/>
    <col min="17" max="17" width="10.1328125" customWidth="1"/>
  </cols>
  <sheetData>
    <row r="1" spans="2:17" x14ac:dyDescent="0.45">
      <c r="B1" s="109" t="s">
        <v>162</v>
      </c>
      <c r="C1" s="109" t="s">
        <v>163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  <c r="Q1" s="54"/>
    </row>
    <row r="2" spans="2:17" x14ac:dyDescent="0.45">
      <c r="B2" s="56" t="s">
        <v>59</v>
      </c>
      <c r="C2" s="57">
        <v>2007</v>
      </c>
      <c r="D2" s="57">
        <v>2008</v>
      </c>
      <c r="E2" s="57">
        <v>2009</v>
      </c>
      <c r="F2" s="57">
        <v>2010</v>
      </c>
      <c r="G2" s="57">
        <v>2011</v>
      </c>
      <c r="H2" s="57">
        <v>2012</v>
      </c>
      <c r="I2" s="57">
        <v>2013</v>
      </c>
      <c r="J2" s="57">
        <v>2014</v>
      </c>
      <c r="K2" s="57">
        <v>2015</v>
      </c>
      <c r="L2" s="57">
        <v>2016</v>
      </c>
      <c r="M2" s="57">
        <v>2017</v>
      </c>
      <c r="N2" s="57" t="s">
        <v>60</v>
      </c>
      <c r="O2" s="57">
        <v>2018</v>
      </c>
      <c r="P2" s="57">
        <v>2019</v>
      </c>
      <c r="Q2" s="57" t="s">
        <v>61</v>
      </c>
    </row>
    <row r="3" spans="2:17" s="34" customFormat="1" ht="21.75" customHeight="1" x14ac:dyDescent="0.45">
      <c r="B3" s="58" t="s">
        <v>62</v>
      </c>
      <c r="C3" s="59">
        <v>295082</v>
      </c>
      <c r="D3" s="59" t="s">
        <v>32</v>
      </c>
      <c r="E3" s="59">
        <v>127931</v>
      </c>
      <c r="F3" s="59">
        <v>1047714</v>
      </c>
      <c r="G3" s="59">
        <v>251049</v>
      </c>
      <c r="H3" s="59">
        <v>198019</v>
      </c>
      <c r="I3" s="59">
        <v>115485</v>
      </c>
      <c r="J3" s="59">
        <v>662215</v>
      </c>
      <c r="K3" s="59">
        <v>227803</v>
      </c>
      <c r="L3" s="59">
        <v>300</v>
      </c>
      <c r="M3" s="59">
        <v>264085</v>
      </c>
      <c r="N3" s="59">
        <f>SUM(C3:M3)</f>
        <v>3189683</v>
      </c>
      <c r="O3" s="59"/>
      <c r="P3" s="59"/>
      <c r="Q3" s="59">
        <f>N3+O3+P3</f>
        <v>3189683</v>
      </c>
    </row>
    <row r="4" spans="2:17" s="34" customFormat="1" ht="21.75" customHeight="1" x14ac:dyDescent="0.45">
      <c r="B4" s="58" t="s">
        <v>63</v>
      </c>
      <c r="C4" s="59" t="s">
        <v>35</v>
      </c>
      <c r="D4" s="59">
        <v>73</v>
      </c>
      <c r="E4" s="59">
        <v>32554</v>
      </c>
      <c r="F4" s="59">
        <v>59716</v>
      </c>
      <c r="G4" s="59">
        <v>202408</v>
      </c>
      <c r="H4" s="59">
        <v>131458</v>
      </c>
      <c r="I4" s="59">
        <v>159474</v>
      </c>
      <c r="J4" s="59">
        <v>142333</v>
      </c>
      <c r="K4" s="59"/>
      <c r="L4" s="59">
        <v>14084</v>
      </c>
      <c r="M4" s="59">
        <v>14084</v>
      </c>
      <c r="N4" s="59">
        <f t="shared" ref="N4:N21" si="0">SUM(C4:M4)</f>
        <v>756184</v>
      </c>
      <c r="O4" s="60"/>
      <c r="P4" s="60"/>
      <c r="Q4" s="59">
        <f t="shared" ref="Q4:Q21" si="1">N4+O4+P4</f>
        <v>756184</v>
      </c>
    </row>
    <row r="5" spans="2:17" s="34" customFormat="1" ht="21.75" customHeight="1" x14ac:dyDescent="0.45">
      <c r="B5" s="58" t="s">
        <v>64</v>
      </c>
      <c r="C5" s="59" t="s">
        <v>35</v>
      </c>
      <c r="D5" s="59" t="s">
        <v>32</v>
      </c>
      <c r="E5" s="59">
        <v>1000000</v>
      </c>
      <c r="F5" s="59">
        <v>1324755</v>
      </c>
      <c r="G5" s="59">
        <v>1000000</v>
      </c>
      <c r="H5" s="59">
        <v>2263397</v>
      </c>
      <c r="I5" s="59">
        <v>3448628</v>
      </c>
      <c r="J5" s="59" t="s">
        <v>42</v>
      </c>
      <c r="K5" s="59">
        <v>2227918</v>
      </c>
      <c r="L5" s="59" t="s">
        <v>42</v>
      </c>
      <c r="M5" s="59">
        <v>0</v>
      </c>
      <c r="N5" s="59">
        <f t="shared" si="0"/>
        <v>11264698</v>
      </c>
      <c r="O5" s="60"/>
      <c r="P5" s="60">
        <v>19396</v>
      </c>
      <c r="Q5" s="59">
        <f t="shared" si="1"/>
        <v>11284094</v>
      </c>
    </row>
    <row r="6" spans="2:17" s="34" customFormat="1" ht="21.75" customHeight="1" x14ac:dyDescent="0.45">
      <c r="B6" s="58" t="s">
        <v>65</v>
      </c>
      <c r="C6" s="59" t="s">
        <v>31</v>
      </c>
      <c r="D6" s="59">
        <v>223202</v>
      </c>
      <c r="E6" s="59" t="s">
        <v>38</v>
      </c>
      <c r="F6" s="59">
        <v>180397</v>
      </c>
      <c r="G6" s="59">
        <v>134522</v>
      </c>
      <c r="H6" s="59">
        <v>195022</v>
      </c>
      <c r="I6" s="59">
        <v>263511</v>
      </c>
      <c r="J6" s="59" t="s">
        <v>42</v>
      </c>
      <c r="K6" s="59" t="s">
        <v>66</v>
      </c>
      <c r="L6" s="59" t="s">
        <v>42</v>
      </c>
      <c r="M6" s="59">
        <v>0</v>
      </c>
      <c r="N6" s="59">
        <f t="shared" si="0"/>
        <v>996654</v>
      </c>
      <c r="O6" s="60"/>
      <c r="P6" s="60"/>
      <c r="Q6" s="59">
        <f t="shared" si="1"/>
        <v>996654</v>
      </c>
    </row>
    <row r="7" spans="2:17" s="34" customFormat="1" ht="21.75" customHeight="1" x14ac:dyDescent="0.45">
      <c r="B7" s="58" t="s">
        <v>67</v>
      </c>
      <c r="C7" s="59">
        <v>885881</v>
      </c>
      <c r="D7" s="59">
        <v>932847</v>
      </c>
      <c r="E7" s="59">
        <v>1026977</v>
      </c>
      <c r="F7" s="59">
        <v>1169522</v>
      </c>
      <c r="G7" s="59">
        <v>1269061</v>
      </c>
      <c r="H7" s="59">
        <v>1577945</v>
      </c>
      <c r="I7" s="59">
        <v>1650377</v>
      </c>
      <c r="J7" s="59">
        <v>1694879</v>
      </c>
      <c r="K7" s="59">
        <v>1789053</v>
      </c>
      <c r="L7" s="59">
        <v>1865465</v>
      </c>
      <c r="M7" s="59">
        <v>1865465</v>
      </c>
      <c r="N7" s="59">
        <f t="shared" si="0"/>
        <v>15727472</v>
      </c>
      <c r="O7" s="60">
        <v>1918693</v>
      </c>
      <c r="P7" s="60">
        <v>2098745</v>
      </c>
      <c r="Q7" s="59">
        <f t="shared" si="1"/>
        <v>19744910</v>
      </c>
    </row>
    <row r="8" spans="2:17" s="34" customFormat="1" ht="21.75" customHeight="1" x14ac:dyDescent="0.45">
      <c r="B8" s="58" t="s">
        <v>68</v>
      </c>
      <c r="C8" s="59" t="s">
        <v>35</v>
      </c>
      <c r="D8" s="59" t="s">
        <v>32</v>
      </c>
      <c r="E8" s="59">
        <v>143029</v>
      </c>
      <c r="F8" s="59">
        <v>81802</v>
      </c>
      <c r="G8" s="59">
        <v>93269</v>
      </c>
      <c r="H8" s="59">
        <v>100311</v>
      </c>
      <c r="I8" s="59">
        <v>269026</v>
      </c>
      <c r="J8" s="59">
        <v>142569</v>
      </c>
      <c r="K8" s="59" t="s">
        <v>69</v>
      </c>
      <c r="L8" s="59">
        <v>149088</v>
      </c>
      <c r="M8" s="59">
        <v>0</v>
      </c>
      <c r="N8" s="59">
        <f t="shared" si="0"/>
        <v>979094</v>
      </c>
      <c r="O8" s="60"/>
      <c r="P8" s="60">
        <v>1583</v>
      </c>
      <c r="Q8" s="59">
        <f t="shared" si="1"/>
        <v>980677</v>
      </c>
    </row>
    <row r="9" spans="2:17" s="34" customFormat="1" ht="21.75" customHeight="1" x14ac:dyDescent="0.45">
      <c r="B9" s="58" t="s">
        <v>70</v>
      </c>
      <c r="C9" s="59">
        <v>396739</v>
      </c>
      <c r="D9" s="59" t="s">
        <v>32</v>
      </c>
      <c r="E9" s="59">
        <v>425607</v>
      </c>
      <c r="F9" s="59">
        <v>473355</v>
      </c>
      <c r="G9" s="59">
        <v>1102638</v>
      </c>
      <c r="H9" s="59">
        <v>573791</v>
      </c>
      <c r="I9" s="59" t="s">
        <v>38</v>
      </c>
      <c r="J9" s="59">
        <v>1227593</v>
      </c>
      <c r="K9" s="59">
        <v>1561391</v>
      </c>
      <c r="L9" s="59">
        <v>937396</v>
      </c>
      <c r="M9" s="59">
        <v>954504</v>
      </c>
      <c r="N9" s="59">
        <f t="shared" si="0"/>
        <v>7653014</v>
      </c>
      <c r="O9" s="60">
        <v>955113</v>
      </c>
      <c r="P9" s="60"/>
      <c r="Q9" s="59">
        <f t="shared" si="1"/>
        <v>8608127</v>
      </c>
    </row>
    <row r="10" spans="2:17" s="34" customFormat="1" ht="21.75" customHeight="1" x14ac:dyDescent="0.45">
      <c r="B10" s="58" t="s">
        <v>71</v>
      </c>
      <c r="C10" s="59">
        <v>888058</v>
      </c>
      <c r="D10" s="59">
        <v>512045</v>
      </c>
      <c r="E10" s="59">
        <v>456597</v>
      </c>
      <c r="F10" s="59">
        <v>2245142</v>
      </c>
      <c r="G10" s="59">
        <v>1260543</v>
      </c>
      <c r="H10" s="59">
        <v>1545300</v>
      </c>
      <c r="I10" s="59">
        <v>1650377</v>
      </c>
      <c r="J10" s="59">
        <v>819275</v>
      </c>
      <c r="K10" s="59">
        <v>1293505</v>
      </c>
      <c r="L10" s="59">
        <v>1702636</v>
      </c>
      <c r="M10" s="59">
        <v>614079</v>
      </c>
      <c r="N10" s="59">
        <f t="shared" si="0"/>
        <v>12987557</v>
      </c>
      <c r="O10" s="60">
        <v>1870348</v>
      </c>
      <c r="P10" s="60">
        <v>1028334</v>
      </c>
      <c r="Q10" s="59">
        <f t="shared" si="1"/>
        <v>15886239</v>
      </c>
    </row>
    <row r="11" spans="2:17" s="34" customFormat="1" ht="21.75" customHeight="1" x14ac:dyDescent="0.45">
      <c r="B11" s="58" t="s">
        <v>72</v>
      </c>
      <c r="C11" s="59">
        <v>885881</v>
      </c>
      <c r="D11" s="59" t="s">
        <v>32</v>
      </c>
      <c r="E11" s="59">
        <v>1869245</v>
      </c>
      <c r="F11" s="59">
        <v>1102010</v>
      </c>
      <c r="G11" s="59">
        <v>70096</v>
      </c>
      <c r="H11" s="59">
        <v>1272609</v>
      </c>
      <c r="I11" s="59">
        <v>3234915</v>
      </c>
      <c r="J11" s="59" t="s">
        <v>42</v>
      </c>
      <c r="K11" s="59" t="s">
        <v>69</v>
      </c>
      <c r="L11" s="59" t="s">
        <v>42</v>
      </c>
      <c r="M11" s="59">
        <v>1792543</v>
      </c>
      <c r="N11" s="59">
        <f t="shared" si="0"/>
        <v>10227299</v>
      </c>
      <c r="O11" s="60"/>
      <c r="P11" s="60"/>
      <c r="Q11" s="59">
        <f t="shared" si="1"/>
        <v>10227299</v>
      </c>
    </row>
    <row r="12" spans="2:17" s="34" customFormat="1" ht="21.75" customHeight="1" x14ac:dyDescent="0.45">
      <c r="B12" s="58" t="s">
        <v>73</v>
      </c>
      <c r="C12" s="59">
        <v>621208</v>
      </c>
      <c r="D12" s="59">
        <v>279298</v>
      </c>
      <c r="E12" s="59" t="s">
        <v>38</v>
      </c>
      <c r="F12" s="59">
        <v>354209</v>
      </c>
      <c r="G12" s="59" t="s">
        <v>74</v>
      </c>
      <c r="H12" s="59">
        <v>352612</v>
      </c>
      <c r="I12" s="59">
        <v>353037</v>
      </c>
      <c r="J12" s="59">
        <v>251514</v>
      </c>
      <c r="K12" s="59">
        <v>763932</v>
      </c>
      <c r="L12" s="59">
        <v>1532770</v>
      </c>
      <c r="M12" s="59">
        <v>537142</v>
      </c>
      <c r="N12" s="59">
        <f t="shared" si="0"/>
        <v>5045722</v>
      </c>
      <c r="O12" s="60">
        <v>603916</v>
      </c>
      <c r="P12" s="60">
        <v>456599</v>
      </c>
      <c r="Q12" s="59">
        <f t="shared" si="1"/>
        <v>6106237</v>
      </c>
    </row>
    <row r="13" spans="2:17" s="34" customFormat="1" ht="21.75" customHeight="1" x14ac:dyDescent="0.45">
      <c r="B13" s="58" t="s">
        <v>75</v>
      </c>
      <c r="C13" s="59" t="s">
        <v>35</v>
      </c>
      <c r="D13" s="59">
        <v>354095</v>
      </c>
      <c r="E13" s="59">
        <v>541687</v>
      </c>
      <c r="F13" s="59">
        <v>366111</v>
      </c>
      <c r="G13" s="59">
        <v>406801</v>
      </c>
      <c r="H13" s="59">
        <v>539625</v>
      </c>
      <c r="I13" s="59" t="s">
        <v>38</v>
      </c>
      <c r="J13" s="59">
        <v>566604</v>
      </c>
      <c r="K13" s="59">
        <v>1123769</v>
      </c>
      <c r="L13" s="59">
        <v>484827</v>
      </c>
      <c r="M13" s="59">
        <v>198758</v>
      </c>
      <c r="N13" s="59">
        <f t="shared" si="0"/>
        <v>4582277</v>
      </c>
      <c r="O13" s="60">
        <v>649950</v>
      </c>
      <c r="P13" s="60">
        <v>80975</v>
      </c>
      <c r="Q13" s="59">
        <f t="shared" si="1"/>
        <v>5313202</v>
      </c>
    </row>
    <row r="14" spans="2:17" s="34" customFormat="1" ht="21.75" customHeight="1" x14ac:dyDescent="0.45">
      <c r="B14" s="58" t="s">
        <v>76</v>
      </c>
      <c r="C14" s="59">
        <v>546935</v>
      </c>
      <c r="D14" s="59">
        <v>287965</v>
      </c>
      <c r="E14" s="59">
        <v>924881</v>
      </c>
      <c r="F14" s="59">
        <v>722058</v>
      </c>
      <c r="G14" s="59">
        <v>783507</v>
      </c>
      <c r="H14" s="59">
        <v>771878</v>
      </c>
      <c r="I14" s="59">
        <v>772927</v>
      </c>
      <c r="J14" s="59">
        <v>793777</v>
      </c>
      <c r="K14" s="59">
        <v>860236</v>
      </c>
      <c r="L14" s="59">
        <v>897599</v>
      </c>
      <c r="M14" s="59">
        <v>913981</v>
      </c>
      <c r="N14" s="59">
        <f t="shared" si="0"/>
        <v>8275744</v>
      </c>
      <c r="O14" s="60">
        <v>913957</v>
      </c>
      <c r="P14" s="60">
        <v>593585</v>
      </c>
      <c r="Q14" s="59">
        <f t="shared" si="1"/>
        <v>9783286</v>
      </c>
    </row>
    <row r="15" spans="2:17" s="34" customFormat="1" ht="21.75" customHeight="1" x14ac:dyDescent="0.45">
      <c r="B15" s="58" t="s">
        <v>77</v>
      </c>
      <c r="C15" s="59">
        <v>215663</v>
      </c>
      <c r="D15" s="59">
        <v>240403</v>
      </c>
      <c r="E15" s="59">
        <v>374236</v>
      </c>
      <c r="F15" s="59">
        <v>284752</v>
      </c>
      <c r="G15" s="59">
        <v>308988</v>
      </c>
      <c r="H15" s="59" t="s">
        <v>35</v>
      </c>
      <c r="I15" s="59" t="s">
        <v>78</v>
      </c>
      <c r="J15" s="59">
        <v>495201</v>
      </c>
      <c r="K15" s="59">
        <v>516247</v>
      </c>
      <c r="L15" s="59">
        <v>1159661</v>
      </c>
      <c r="M15" s="59">
        <v>0</v>
      </c>
      <c r="N15" s="59">
        <f t="shared" si="0"/>
        <v>3595151</v>
      </c>
      <c r="O15" s="60">
        <v>5899</v>
      </c>
      <c r="P15" s="60"/>
      <c r="Q15" s="59">
        <f t="shared" si="1"/>
        <v>3601050</v>
      </c>
    </row>
    <row r="16" spans="2:17" s="34" customFormat="1" ht="21.75" customHeight="1" x14ac:dyDescent="0.45">
      <c r="B16" s="58" t="s">
        <v>79</v>
      </c>
      <c r="C16" s="59">
        <v>110</v>
      </c>
      <c r="D16" s="59">
        <v>73</v>
      </c>
      <c r="E16" s="59">
        <v>650372</v>
      </c>
      <c r="F16" s="59">
        <v>238605</v>
      </c>
      <c r="G16" s="59">
        <v>99318</v>
      </c>
      <c r="H16" s="59">
        <v>136755</v>
      </c>
      <c r="I16" s="59">
        <v>165038</v>
      </c>
      <c r="J16" s="59">
        <v>194913</v>
      </c>
      <c r="K16" s="59">
        <v>228104</v>
      </c>
      <c r="L16" s="59">
        <v>127847</v>
      </c>
      <c r="M16" s="59">
        <v>242188</v>
      </c>
      <c r="N16" s="59">
        <f t="shared" si="0"/>
        <v>2083323</v>
      </c>
      <c r="O16" s="60">
        <v>242796</v>
      </c>
      <c r="P16" s="60">
        <v>174895</v>
      </c>
      <c r="Q16" s="59">
        <f t="shared" si="1"/>
        <v>2501014</v>
      </c>
    </row>
    <row r="17" spans="1:18" s="34" customFormat="1" ht="21.75" customHeight="1" x14ac:dyDescent="0.45">
      <c r="B17" s="58" t="s">
        <v>80</v>
      </c>
      <c r="C17" s="59" t="s">
        <v>35</v>
      </c>
      <c r="D17" s="59">
        <v>638051</v>
      </c>
      <c r="E17" s="59" t="s">
        <v>38</v>
      </c>
      <c r="F17" s="59">
        <v>483472</v>
      </c>
      <c r="G17" s="59">
        <v>1375620</v>
      </c>
      <c r="H17" s="59" t="s">
        <v>35</v>
      </c>
      <c r="I17" s="59"/>
      <c r="J17" s="59">
        <v>758362</v>
      </c>
      <c r="K17" s="59"/>
      <c r="L17" s="59">
        <v>89999</v>
      </c>
      <c r="M17" s="59"/>
      <c r="N17" s="59">
        <f t="shared" si="0"/>
        <v>3345504</v>
      </c>
      <c r="O17" s="60"/>
      <c r="P17" s="60"/>
      <c r="Q17" s="59">
        <f t="shared" si="1"/>
        <v>3345504</v>
      </c>
    </row>
    <row r="18" spans="1:18" s="34" customFormat="1" ht="21.75" customHeight="1" x14ac:dyDescent="0.45">
      <c r="B18" s="58" t="s">
        <v>81</v>
      </c>
      <c r="C18" s="59">
        <v>231099</v>
      </c>
      <c r="D18" s="59">
        <v>243351</v>
      </c>
      <c r="E18" s="59">
        <v>267907</v>
      </c>
      <c r="F18" s="59">
        <v>305093</v>
      </c>
      <c r="G18" s="59">
        <v>331059</v>
      </c>
      <c r="H18" s="59">
        <v>453659</v>
      </c>
      <c r="I18" s="59">
        <v>477234</v>
      </c>
      <c r="J18" s="59">
        <v>277331</v>
      </c>
      <c r="K18" s="59">
        <v>681666</v>
      </c>
      <c r="L18" s="59">
        <v>524196</v>
      </c>
      <c r="M18" s="59">
        <v>0</v>
      </c>
      <c r="N18" s="59">
        <f t="shared" si="0"/>
        <v>3792595</v>
      </c>
      <c r="O18" s="60"/>
      <c r="P18" s="60"/>
      <c r="Q18" s="59">
        <f t="shared" si="1"/>
        <v>3792595</v>
      </c>
    </row>
    <row r="19" spans="1:18" s="34" customFormat="1" ht="21.75" customHeight="1" x14ac:dyDescent="0.45">
      <c r="B19" s="58" t="s">
        <v>82</v>
      </c>
      <c r="C19" s="59" t="s">
        <v>83</v>
      </c>
      <c r="D19" s="59">
        <v>509</v>
      </c>
      <c r="E19" s="59">
        <v>100</v>
      </c>
      <c r="F19" s="59"/>
      <c r="G19" s="59">
        <v>1412970</v>
      </c>
      <c r="H19" s="59">
        <v>558629</v>
      </c>
      <c r="I19" s="59"/>
      <c r="J19" s="59">
        <v>794734</v>
      </c>
      <c r="K19" s="59">
        <v>398207</v>
      </c>
      <c r="L19" s="59">
        <v>86119</v>
      </c>
      <c r="M19" s="59">
        <v>0</v>
      </c>
      <c r="N19" s="59">
        <f t="shared" si="0"/>
        <v>3251268</v>
      </c>
      <c r="O19" s="60"/>
      <c r="P19" s="60"/>
      <c r="Q19" s="59">
        <f t="shared" si="1"/>
        <v>3251268</v>
      </c>
    </row>
    <row r="20" spans="1:18" s="34" customFormat="1" ht="21.75" customHeight="1" x14ac:dyDescent="0.45">
      <c r="B20" s="58" t="s">
        <v>84</v>
      </c>
      <c r="C20" s="59">
        <v>400</v>
      </c>
      <c r="D20" s="59">
        <v>422387</v>
      </c>
      <c r="E20" s="59">
        <v>396825</v>
      </c>
      <c r="F20" s="59">
        <v>597048</v>
      </c>
      <c r="G20" s="59">
        <v>579751</v>
      </c>
      <c r="H20" s="59">
        <v>850815</v>
      </c>
      <c r="I20" s="59">
        <v>787242</v>
      </c>
      <c r="J20" s="59">
        <v>844623</v>
      </c>
      <c r="K20" s="59">
        <v>845709</v>
      </c>
      <c r="L20" s="59">
        <v>1021976</v>
      </c>
      <c r="M20" s="59">
        <v>469559</v>
      </c>
      <c r="N20" s="59">
        <f t="shared" si="0"/>
        <v>6816335</v>
      </c>
      <c r="O20" s="60">
        <v>933253.3</v>
      </c>
      <c r="P20" s="60"/>
      <c r="Q20" s="59">
        <f t="shared" si="1"/>
        <v>7749588.2999999998</v>
      </c>
    </row>
    <row r="21" spans="1:18" s="34" customFormat="1" ht="21.75" customHeight="1" x14ac:dyDescent="0.45">
      <c r="B21" s="58" t="s">
        <v>85</v>
      </c>
      <c r="C21" s="59">
        <v>885881</v>
      </c>
      <c r="D21" s="59">
        <v>932847</v>
      </c>
      <c r="E21" s="59">
        <v>1026977</v>
      </c>
      <c r="F21" s="59">
        <v>1169522</v>
      </c>
      <c r="G21" s="59">
        <v>1269061</v>
      </c>
      <c r="H21" s="59">
        <v>670627</v>
      </c>
      <c r="I21" s="59"/>
      <c r="J21" s="59">
        <v>694533</v>
      </c>
      <c r="K21" s="59">
        <v>1481071</v>
      </c>
      <c r="L21" s="59" t="s">
        <v>86</v>
      </c>
      <c r="M21" s="59">
        <v>0</v>
      </c>
      <c r="N21" s="59">
        <f t="shared" si="0"/>
        <v>8130519</v>
      </c>
      <c r="O21" s="60">
        <v>49888</v>
      </c>
      <c r="P21" s="60"/>
      <c r="Q21" s="59">
        <f t="shared" si="1"/>
        <v>8180407</v>
      </c>
    </row>
    <row r="22" spans="1:18" s="34" customFormat="1" ht="21.75" customHeight="1" x14ac:dyDescent="0.45">
      <c r="A22" s="130"/>
      <c r="B22" s="61" t="s">
        <v>61</v>
      </c>
      <c r="C22" s="62">
        <f>SUM(C3:C21)</f>
        <v>5852937</v>
      </c>
      <c r="D22" s="62">
        <f t="shared" ref="D22:J22" si="2">SUM(D3:D21)</f>
        <v>5067146</v>
      </c>
      <c r="E22" s="62">
        <f t="shared" si="2"/>
        <v>9264925</v>
      </c>
      <c r="F22" s="62">
        <f t="shared" si="2"/>
        <v>12205283</v>
      </c>
      <c r="G22" s="62">
        <f t="shared" si="2"/>
        <v>11950661</v>
      </c>
      <c r="H22" s="62">
        <f t="shared" si="2"/>
        <v>12192452</v>
      </c>
      <c r="I22" s="62">
        <f t="shared" si="2"/>
        <v>13347271</v>
      </c>
      <c r="J22" s="62">
        <f t="shared" si="2"/>
        <v>10360456</v>
      </c>
      <c r="K22" s="62">
        <f t="shared" ref="K22" si="3">SUM(K3:K21)</f>
        <v>13998611</v>
      </c>
      <c r="L22" s="62">
        <f t="shared" ref="L22" si="4">SUM(L3:L21)</f>
        <v>10593963</v>
      </c>
      <c r="M22" s="62">
        <f t="shared" ref="M22" si="5">SUM(M3:M21)</f>
        <v>7866388</v>
      </c>
      <c r="N22" s="62">
        <f t="shared" ref="N22" si="6">SUM(N3:N21)</f>
        <v>112700093</v>
      </c>
      <c r="O22" s="62">
        <f t="shared" ref="O22" si="7">SUM(O3:O21)</f>
        <v>8143813.2999999998</v>
      </c>
      <c r="P22" s="62">
        <f t="shared" ref="P22:Q22" si="8">SUM(P3:P21)</f>
        <v>4454112</v>
      </c>
      <c r="Q22" s="62">
        <f t="shared" si="8"/>
        <v>125298018.3</v>
      </c>
    </row>
    <row r="23" spans="1:18" x14ac:dyDescent="0.45">
      <c r="R23" s="34"/>
    </row>
    <row r="24" spans="1:18" x14ac:dyDescent="0.45">
      <c r="R24" s="34"/>
    </row>
  </sheetData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8110B-01CD-4314-8CE5-D368CDDBF4B5}">
  <sheetPr>
    <pageSetUpPr fitToPage="1"/>
  </sheetPr>
  <dimension ref="B1:S26"/>
  <sheetViews>
    <sheetView topLeftCell="A7" zoomScale="60" zoomScaleNormal="60" zoomScaleSheetLayoutView="100" workbookViewId="0">
      <selection activeCell="R23" sqref="R23"/>
    </sheetView>
  </sheetViews>
  <sheetFormatPr defaultColWidth="9.1328125" defaultRowHeight="13.15" x14ac:dyDescent="0.4"/>
  <cols>
    <col min="1" max="1" width="9.1328125" style="12"/>
    <col min="2" max="2" width="13.9296875" style="12" bestFit="1" customWidth="1"/>
    <col min="3" max="3" width="10.86328125" style="12" bestFit="1" customWidth="1"/>
    <col min="4" max="6" width="9.86328125" style="12" bestFit="1" customWidth="1"/>
    <col min="7" max="7" width="8.33203125" style="12" bestFit="1" customWidth="1"/>
    <col min="8" max="8" width="9.86328125" style="12" bestFit="1" customWidth="1"/>
    <col min="9" max="9" width="8.33203125" style="12" bestFit="1" customWidth="1"/>
    <col min="10" max="10" width="10.86328125" style="12" bestFit="1" customWidth="1"/>
    <col min="11" max="11" width="11.86328125" style="13" bestFit="1" customWidth="1"/>
    <col min="12" max="13" width="9.86328125" style="12" bestFit="1" customWidth="1"/>
    <col min="14" max="14" width="4.9296875" style="12" bestFit="1" customWidth="1"/>
    <col min="15" max="16" width="8.33203125" style="12" bestFit="1" customWidth="1"/>
    <col min="17" max="17" width="4.9296875" style="12" bestFit="1" customWidth="1"/>
    <col min="18" max="18" width="11.86328125" style="12" bestFit="1" customWidth="1"/>
    <col min="19" max="16384" width="9.1328125" style="12"/>
  </cols>
  <sheetData>
    <row r="1" spans="2:19" s="14" customFormat="1" ht="15.4" thickBot="1" x14ac:dyDescent="0.45">
      <c r="B1" s="31" t="s">
        <v>164</v>
      </c>
      <c r="C1" s="110" t="s">
        <v>166</v>
      </c>
      <c r="D1" s="17"/>
      <c r="E1" s="18"/>
      <c r="F1" s="18"/>
      <c r="G1" s="18"/>
      <c r="H1" s="18"/>
      <c r="I1" s="18"/>
      <c r="J1" s="18"/>
      <c r="K1" s="17"/>
      <c r="L1" s="18"/>
      <c r="M1" s="18"/>
      <c r="N1" s="18"/>
      <c r="O1" s="18"/>
      <c r="P1" s="18"/>
      <c r="Q1" s="18"/>
      <c r="R1" s="19"/>
    </row>
    <row r="2" spans="2:19" x14ac:dyDescent="0.35">
      <c r="B2" s="20" t="s">
        <v>87</v>
      </c>
      <c r="C2" s="21"/>
      <c r="D2" s="21"/>
      <c r="E2" s="21"/>
      <c r="F2" s="21"/>
      <c r="G2" s="21"/>
      <c r="H2" s="21"/>
      <c r="I2" s="21"/>
      <c r="J2" s="21"/>
      <c r="K2" s="21"/>
      <c r="L2" s="22">
        <v>2018</v>
      </c>
      <c r="M2" s="22">
        <v>2019</v>
      </c>
      <c r="N2" s="22">
        <v>2018</v>
      </c>
      <c r="O2" s="22">
        <v>2019</v>
      </c>
      <c r="P2" s="22">
        <v>2018</v>
      </c>
      <c r="Q2" s="22">
        <v>2019</v>
      </c>
      <c r="R2" s="23" t="s">
        <v>61</v>
      </c>
      <c r="S2" s="14"/>
    </row>
    <row r="3" spans="2:19" s="16" customFormat="1" ht="39.75" thickBot="1" x14ac:dyDescent="0.4">
      <c r="B3" s="24"/>
      <c r="C3" s="25" t="s">
        <v>46</v>
      </c>
      <c r="D3" s="25" t="s">
        <v>88</v>
      </c>
      <c r="E3" s="25" t="s">
        <v>89</v>
      </c>
      <c r="F3" s="25" t="s">
        <v>90</v>
      </c>
      <c r="G3" s="25" t="s">
        <v>91</v>
      </c>
      <c r="H3" s="25" t="s">
        <v>92</v>
      </c>
      <c r="I3" s="25" t="s">
        <v>93</v>
      </c>
      <c r="J3" s="25" t="s">
        <v>94</v>
      </c>
      <c r="K3" s="26" t="s">
        <v>115</v>
      </c>
      <c r="L3" s="159" t="s">
        <v>46</v>
      </c>
      <c r="M3" s="159"/>
      <c r="N3" s="160" t="s">
        <v>121</v>
      </c>
      <c r="O3" s="160"/>
      <c r="P3" s="160" t="s">
        <v>122</v>
      </c>
      <c r="Q3" s="160"/>
      <c r="R3" s="27"/>
      <c r="S3" s="14"/>
    </row>
    <row r="4" spans="2:19" s="15" customFormat="1" ht="21" customHeight="1" x14ac:dyDescent="0.4">
      <c r="B4" s="28" t="s">
        <v>95</v>
      </c>
      <c r="C4" s="63">
        <v>19880235</v>
      </c>
      <c r="D4" s="63" t="s">
        <v>96</v>
      </c>
      <c r="E4" s="63" t="s">
        <v>96</v>
      </c>
      <c r="F4" s="63" t="s">
        <v>96</v>
      </c>
      <c r="G4" s="63" t="s">
        <v>96</v>
      </c>
      <c r="H4" s="63" t="s">
        <v>96</v>
      </c>
      <c r="I4" s="63">
        <v>126614</v>
      </c>
      <c r="J4" s="63">
        <v>1083740</v>
      </c>
      <c r="K4" s="64">
        <v>21090589</v>
      </c>
      <c r="L4" s="63">
        <f>462163*1.1</f>
        <v>508379.30000000005</v>
      </c>
      <c r="M4" s="63">
        <f>355429.948*1.1</f>
        <v>390972.94280000002</v>
      </c>
      <c r="N4" s="65">
        <v>0</v>
      </c>
      <c r="O4" s="63">
        <v>0</v>
      </c>
      <c r="P4" s="63">
        <f>13882.78+6493+10449</f>
        <v>30824.78</v>
      </c>
      <c r="Q4" s="63">
        <v>0</v>
      </c>
      <c r="R4" s="66">
        <f>SUM(K4:Q4)</f>
        <v>22020766.022800002</v>
      </c>
      <c r="S4" s="14"/>
    </row>
    <row r="5" spans="2:19" s="15" customFormat="1" ht="21" customHeight="1" x14ac:dyDescent="0.4">
      <c r="B5" s="29" t="s">
        <v>97</v>
      </c>
      <c r="C5" s="67">
        <v>1983710</v>
      </c>
      <c r="D5" s="67">
        <v>70800</v>
      </c>
      <c r="E5" s="67" t="s">
        <v>96</v>
      </c>
      <c r="F5" s="67" t="s">
        <v>96</v>
      </c>
      <c r="G5" s="67" t="s">
        <v>96</v>
      </c>
      <c r="H5" s="67" t="s">
        <v>96</v>
      </c>
      <c r="I5" s="67" t="s">
        <v>96</v>
      </c>
      <c r="J5" s="67">
        <v>293100</v>
      </c>
      <c r="K5" s="68">
        <v>2347610</v>
      </c>
      <c r="L5" s="69">
        <f>302353*1.1</f>
        <v>332588.30000000005</v>
      </c>
      <c r="M5" s="67">
        <f>739947*1.1</f>
        <v>813941.70000000007</v>
      </c>
      <c r="N5" s="70">
        <v>0</v>
      </c>
      <c r="O5" s="67">
        <v>12005</v>
      </c>
      <c r="P5" s="67">
        <v>0</v>
      </c>
      <c r="Q5" s="67">
        <v>0</v>
      </c>
      <c r="R5" s="71">
        <f t="shared" ref="R5:R22" si="0">SUM(K5:Q5)</f>
        <v>3506145</v>
      </c>
      <c r="S5" s="14"/>
    </row>
    <row r="6" spans="2:19" s="15" customFormat="1" ht="21" customHeight="1" x14ac:dyDescent="0.4">
      <c r="B6" s="29" t="s">
        <v>98</v>
      </c>
      <c r="C6" s="67">
        <v>616936</v>
      </c>
      <c r="D6" s="67">
        <v>15500</v>
      </c>
      <c r="E6" s="67" t="s">
        <v>96</v>
      </c>
      <c r="F6" s="67" t="s">
        <v>96</v>
      </c>
      <c r="G6" s="67" t="s">
        <v>96</v>
      </c>
      <c r="H6" s="67">
        <v>21623</v>
      </c>
      <c r="I6" s="67">
        <v>5118</v>
      </c>
      <c r="J6" s="67">
        <v>109500</v>
      </c>
      <c r="K6" s="68">
        <v>768677</v>
      </c>
      <c r="L6" s="69">
        <f>118230*1.1</f>
        <v>130053.00000000001</v>
      </c>
      <c r="M6" s="67">
        <v>0</v>
      </c>
      <c r="N6" s="70">
        <v>0</v>
      </c>
      <c r="O6" s="67">
        <v>17987.66</v>
      </c>
      <c r="P6" s="67">
        <f>5117.88+5117.88+5117.88</f>
        <v>15353.64</v>
      </c>
      <c r="Q6" s="67">
        <v>0</v>
      </c>
      <c r="R6" s="71">
        <f t="shared" si="0"/>
        <v>932071.3</v>
      </c>
      <c r="S6" s="14"/>
    </row>
    <row r="7" spans="2:19" s="15" customFormat="1" ht="21" customHeight="1" x14ac:dyDescent="0.4">
      <c r="B7" s="29" t="s">
        <v>99</v>
      </c>
      <c r="C7" s="67">
        <v>1614074</v>
      </c>
      <c r="D7" s="67">
        <v>185994</v>
      </c>
      <c r="E7" s="67" t="s">
        <v>96</v>
      </c>
      <c r="F7" s="67" t="s">
        <v>96</v>
      </c>
      <c r="G7" s="67" t="s">
        <v>96</v>
      </c>
      <c r="H7" s="67" t="s">
        <v>96</v>
      </c>
      <c r="I7" s="67" t="s">
        <v>96</v>
      </c>
      <c r="J7" s="67">
        <v>98100</v>
      </c>
      <c r="K7" s="68">
        <v>1898168</v>
      </c>
      <c r="L7" s="72">
        <f>422805*1.1</f>
        <v>465085.50000000006</v>
      </c>
      <c r="M7" s="67">
        <f>560073*1.1</f>
        <v>616080.30000000005</v>
      </c>
      <c r="N7" s="70">
        <v>0</v>
      </c>
      <c r="O7" s="67">
        <v>18525.91</v>
      </c>
      <c r="P7" s="67">
        <v>0</v>
      </c>
      <c r="Q7" s="67">
        <v>0</v>
      </c>
      <c r="R7" s="71">
        <f t="shared" si="0"/>
        <v>2997859.71</v>
      </c>
      <c r="S7" s="14"/>
    </row>
    <row r="8" spans="2:19" s="15" customFormat="1" ht="21" customHeight="1" x14ac:dyDescent="0.4">
      <c r="B8" s="29" t="s">
        <v>100</v>
      </c>
      <c r="C8" s="67" t="s">
        <v>96</v>
      </c>
      <c r="D8" s="67" t="s">
        <v>96</v>
      </c>
      <c r="E8" s="67" t="s">
        <v>96</v>
      </c>
      <c r="F8" s="67" t="s">
        <v>96</v>
      </c>
      <c r="G8" s="67" t="s">
        <v>96</v>
      </c>
      <c r="H8" s="67">
        <v>1816253</v>
      </c>
      <c r="I8" s="67" t="s">
        <v>96</v>
      </c>
      <c r="J8" s="67">
        <v>93100</v>
      </c>
      <c r="K8" s="68">
        <v>1909353</v>
      </c>
      <c r="L8" s="69">
        <v>0</v>
      </c>
      <c r="M8" s="67">
        <v>0</v>
      </c>
      <c r="N8" s="70">
        <v>0</v>
      </c>
      <c r="O8" s="67">
        <v>2000</v>
      </c>
      <c r="P8" s="67">
        <v>0</v>
      </c>
      <c r="Q8" s="67">
        <v>0</v>
      </c>
      <c r="R8" s="71">
        <f t="shared" si="0"/>
        <v>1911353</v>
      </c>
      <c r="S8" s="14"/>
    </row>
    <row r="9" spans="2:19" s="15" customFormat="1" ht="21" customHeight="1" x14ac:dyDescent="0.4">
      <c r="B9" s="29" t="s">
        <v>101</v>
      </c>
      <c r="C9" s="67" t="s">
        <v>96</v>
      </c>
      <c r="D9" s="67" t="s">
        <v>96</v>
      </c>
      <c r="E9" s="67" t="s">
        <v>96</v>
      </c>
      <c r="F9" s="67" t="s">
        <v>96</v>
      </c>
      <c r="G9" s="67" t="s">
        <v>96</v>
      </c>
      <c r="H9" s="67" t="s">
        <v>96</v>
      </c>
      <c r="I9" s="67" t="s">
        <v>96</v>
      </c>
      <c r="J9" s="67">
        <v>93100</v>
      </c>
      <c r="K9" s="68">
        <v>93100</v>
      </c>
      <c r="L9" s="69">
        <v>0</v>
      </c>
      <c r="M9" s="67">
        <v>0</v>
      </c>
      <c r="N9" s="70">
        <v>0</v>
      </c>
      <c r="O9" s="67">
        <v>5643.32</v>
      </c>
      <c r="P9" s="67">
        <v>0</v>
      </c>
      <c r="Q9" s="67">
        <v>0</v>
      </c>
      <c r="R9" s="71">
        <f t="shared" si="0"/>
        <v>98743.32</v>
      </c>
      <c r="S9" s="14"/>
    </row>
    <row r="10" spans="2:19" s="15" customFormat="1" ht="21" customHeight="1" x14ac:dyDescent="0.4">
      <c r="B10" s="29" t="s">
        <v>102</v>
      </c>
      <c r="C10" s="67">
        <v>2772731</v>
      </c>
      <c r="D10" s="67">
        <v>84578</v>
      </c>
      <c r="E10" s="67" t="s">
        <v>96</v>
      </c>
      <c r="F10" s="67" t="s">
        <v>96</v>
      </c>
      <c r="G10" s="67" t="s">
        <v>96</v>
      </c>
      <c r="H10" s="67">
        <v>522001</v>
      </c>
      <c r="I10" s="67">
        <v>84692</v>
      </c>
      <c r="J10" s="67">
        <v>1387554</v>
      </c>
      <c r="K10" s="68">
        <v>4851556</v>
      </c>
      <c r="L10" s="69">
        <f>31428*1.1</f>
        <v>34570.800000000003</v>
      </c>
      <c r="M10" s="67">
        <f>331226*1.1</f>
        <v>364348.60000000003</v>
      </c>
      <c r="N10" s="70">
        <v>0</v>
      </c>
      <c r="O10" s="67">
        <v>9983.0299999999988</v>
      </c>
      <c r="P10" s="67">
        <f>4428.98+9735+8840</f>
        <v>23003.98</v>
      </c>
      <c r="Q10" s="67">
        <v>0</v>
      </c>
      <c r="R10" s="71">
        <f t="shared" si="0"/>
        <v>5283462.41</v>
      </c>
      <c r="S10" s="14"/>
    </row>
    <row r="11" spans="2:19" s="15" customFormat="1" ht="21" customHeight="1" x14ac:dyDescent="0.4">
      <c r="B11" s="29" t="s">
        <v>103</v>
      </c>
      <c r="C11" s="67">
        <v>8898196</v>
      </c>
      <c r="D11" s="67">
        <v>196468</v>
      </c>
      <c r="E11" s="67" t="s">
        <v>96</v>
      </c>
      <c r="F11" s="67" t="s">
        <v>96</v>
      </c>
      <c r="G11" s="67">
        <v>155000</v>
      </c>
      <c r="H11" s="67">
        <v>2100037</v>
      </c>
      <c r="I11" s="67">
        <v>135465</v>
      </c>
      <c r="J11" s="67">
        <v>2095813</v>
      </c>
      <c r="K11" s="68">
        <v>13580979</v>
      </c>
      <c r="L11" s="69">
        <v>0</v>
      </c>
      <c r="M11" s="67">
        <v>0</v>
      </c>
      <c r="N11" s="70">
        <v>0</v>
      </c>
      <c r="O11" s="67">
        <v>7976.5</v>
      </c>
      <c r="P11" s="67">
        <f>12581.61+12581.61+12581.61</f>
        <v>37744.83</v>
      </c>
      <c r="Q11" s="67">
        <v>0</v>
      </c>
      <c r="R11" s="71">
        <f t="shared" si="0"/>
        <v>13626700.33</v>
      </c>
      <c r="S11" s="14"/>
    </row>
    <row r="12" spans="2:19" s="15" customFormat="1" ht="21" customHeight="1" x14ac:dyDescent="0.4">
      <c r="B12" s="29" t="s">
        <v>104</v>
      </c>
      <c r="C12" s="67" t="s">
        <v>96</v>
      </c>
      <c r="D12" s="67" t="s">
        <v>96</v>
      </c>
      <c r="E12" s="67" t="s">
        <v>96</v>
      </c>
      <c r="F12" s="67" t="s">
        <v>96</v>
      </c>
      <c r="G12" s="67" t="s">
        <v>96</v>
      </c>
      <c r="H12" s="67" t="s">
        <v>96</v>
      </c>
      <c r="I12" s="67" t="s">
        <v>96</v>
      </c>
      <c r="J12" s="67" t="s">
        <v>96</v>
      </c>
      <c r="K12" s="68" t="s">
        <v>96</v>
      </c>
      <c r="L12" s="69">
        <f>1791259*1.1</f>
        <v>1970384.9000000001</v>
      </c>
      <c r="M12" s="67">
        <v>0</v>
      </c>
      <c r="N12" s="70">
        <v>0</v>
      </c>
      <c r="O12" s="67">
        <v>0</v>
      </c>
      <c r="P12" s="67">
        <v>0</v>
      </c>
      <c r="Q12" s="67">
        <v>0</v>
      </c>
      <c r="R12" s="71">
        <f t="shared" si="0"/>
        <v>1970384.9000000001</v>
      </c>
      <c r="S12" s="14"/>
    </row>
    <row r="13" spans="2:19" s="15" customFormat="1" ht="21" customHeight="1" x14ac:dyDescent="0.4">
      <c r="B13" s="29" t="s">
        <v>105</v>
      </c>
      <c r="C13" s="67">
        <v>1120635</v>
      </c>
      <c r="D13" s="67">
        <v>144480</v>
      </c>
      <c r="E13" s="67" t="s">
        <v>96</v>
      </c>
      <c r="F13" s="67">
        <v>250000</v>
      </c>
      <c r="G13" s="67" t="s">
        <v>96</v>
      </c>
      <c r="H13" s="67">
        <v>89107</v>
      </c>
      <c r="I13" s="67">
        <v>212412</v>
      </c>
      <c r="J13" s="67">
        <v>113100</v>
      </c>
      <c r="K13" s="68">
        <v>1929734</v>
      </c>
      <c r="L13" s="69">
        <v>0</v>
      </c>
      <c r="M13" s="67">
        <v>0</v>
      </c>
      <c r="N13" s="70">
        <v>0</v>
      </c>
      <c r="O13" s="67">
        <v>0</v>
      </c>
      <c r="P13" s="67">
        <v>0</v>
      </c>
      <c r="Q13" s="67">
        <v>0</v>
      </c>
      <c r="R13" s="71">
        <f t="shared" si="0"/>
        <v>1929734</v>
      </c>
      <c r="S13" s="14"/>
    </row>
    <row r="14" spans="2:19" s="15" customFormat="1" ht="21" customHeight="1" x14ac:dyDescent="0.4">
      <c r="B14" s="29" t="s">
        <v>106</v>
      </c>
      <c r="C14" s="67">
        <v>1097479</v>
      </c>
      <c r="D14" s="67">
        <v>144447</v>
      </c>
      <c r="E14" s="67">
        <v>1092150</v>
      </c>
      <c r="F14" s="67" t="s">
        <v>96</v>
      </c>
      <c r="G14" s="67" t="s">
        <v>96</v>
      </c>
      <c r="H14" s="67">
        <v>620206</v>
      </c>
      <c r="I14" s="67">
        <v>10588</v>
      </c>
      <c r="J14" s="67">
        <v>1898130</v>
      </c>
      <c r="K14" s="68">
        <v>4863000</v>
      </c>
      <c r="L14" s="69">
        <v>0</v>
      </c>
      <c r="M14" s="67">
        <f>294368*1.1</f>
        <v>323804.80000000005</v>
      </c>
      <c r="N14" s="70">
        <v>0</v>
      </c>
      <c r="O14" s="67">
        <v>17321.18</v>
      </c>
      <c r="P14" s="67">
        <f>10588.39+9623.39+10588.39</f>
        <v>30800.17</v>
      </c>
      <c r="Q14" s="67">
        <v>0</v>
      </c>
      <c r="R14" s="71">
        <f t="shared" si="0"/>
        <v>5234926.1499999994</v>
      </c>
      <c r="S14" s="14"/>
    </row>
    <row r="15" spans="2:19" s="15" customFormat="1" ht="21" customHeight="1" x14ac:dyDescent="0.4">
      <c r="B15" s="29" t="s">
        <v>107</v>
      </c>
      <c r="C15" s="67">
        <v>4854459</v>
      </c>
      <c r="D15" s="67">
        <v>93498</v>
      </c>
      <c r="E15" s="67" t="s">
        <v>96</v>
      </c>
      <c r="F15" s="67" t="s">
        <v>96</v>
      </c>
      <c r="G15" s="67" t="s">
        <v>96</v>
      </c>
      <c r="H15" s="67">
        <v>336141</v>
      </c>
      <c r="I15" s="67" t="s">
        <v>96</v>
      </c>
      <c r="J15" s="67">
        <v>203100</v>
      </c>
      <c r="K15" s="68">
        <v>5487198</v>
      </c>
      <c r="L15" s="69">
        <f>505648*1.1</f>
        <v>556212.80000000005</v>
      </c>
      <c r="M15" s="67">
        <f>643838.74*1.1</f>
        <v>708222.61400000006</v>
      </c>
      <c r="N15" s="70">
        <v>0</v>
      </c>
      <c r="O15" s="67">
        <v>9171</v>
      </c>
      <c r="P15" s="67">
        <f>5120.07+5473+4168.5+4168.43</f>
        <v>18930</v>
      </c>
      <c r="Q15" s="67">
        <v>0</v>
      </c>
      <c r="R15" s="71">
        <f t="shared" si="0"/>
        <v>6779734.4139999999</v>
      </c>
      <c r="S15" s="14"/>
    </row>
    <row r="16" spans="2:19" s="15" customFormat="1" ht="21" customHeight="1" x14ac:dyDescent="0.4">
      <c r="B16" s="29" t="s">
        <v>108</v>
      </c>
      <c r="C16" s="67">
        <v>31059845</v>
      </c>
      <c r="D16" s="67">
        <v>62505</v>
      </c>
      <c r="E16" s="67" t="s">
        <v>96</v>
      </c>
      <c r="F16" s="67" t="s">
        <v>96</v>
      </c>
      <c r="G16" s="67" t="s">
        <v>96</v>
      </c>
      <c r="H16" s="67">
        <v>217385</v>
      </c>
      <c r="I16" s="67">
        <v>95583</v>
      </c>
      <c r="J16" s="67">
        <v>1438025</v>
      </c>
      <c r="K16" s="68">
        <v>32873343</v>
      </c>
      <c r="L16" s="69">
        <f>1306428*1.1</f>
        <v>1437070.8</v>
      </c>
      <c r="M16" s="67">
        <v>0</v>
      </c>
      <c r="N16" s="70">
        <v>0</v>
      </c>
      <c r="O16" s="67">
        <v>19858.439999999999</v>
      </c>
      <c r="P16" s="67">
        <f>7306</f>
        <v>7306</v>
      </c>
      <c r="Q16" s="67">
        <v>0</v>
      </c>
      <c r="R16" s="71">
        <f t="shared" si="0"/>
        <v>34337578.239999995</v>
      </c>
      <c r="S16" s="14"/>
    </row>
    <row r="17" spans="2:19" s="15" customFormat="1" ht="21" customHeight="1" x14ac:dyDescent="0.4">
      <c r="B17" s="29" t="s">
        <v>109</v>
      </c>
      <c r="C17" s="67">
        <v>3215336</v>
      </c>
      <c r="D17" s="67">
        <v>73521</v>
      </c>
      <c r="E17" s="67" t="s">
        <v>96</v>
      </c>
      <c r="F17" s="67">
        <v>132744</v>
      </c>
      <c r="G17" s="67" t="s">
        <v>96</v>
      </c>
      <c r="H17" s="67">
        <v>42801</v>
      </c>
      <c r="I17" s="67" t="s">
        <v>96</v>
      </c>
      <c r="J17" s="67">
        <v>93100</v>
      </c>
      <c r="K17" s="68">
        <v>3557501</v>
      </c>
      <c r="L17" s="69">
        <f>832615*1.1</f>
        <v>915876.50000000012</v>
      </c>
      <c r="M17" s="67">
        <v>0</v>
      </c>
      <c r="N17" s="70">
        <v>0</v>
      </c>
      <c r="O17" s="67">
        <v>0</v>
      </c>
      <c r="P17" s="70">
        <v>15150.27</v>
      </c>
      <c r="Q17" s="67">
        <v>0</v>
      </c>
      <c r="R17" s="71">
        <f t="shared" si="0"/>
        <v>4488527.7699999996</v>
      </c>
      <c r="S17" s="14"/>
    </row>
    <row r="18" spans="2:19" s="15" customFormat="1" ht="21" customHeight="1" x14ac:dyDescent="0.4">
      <c r="B18" s="29" t="s">
        <v>110</v>
      </c>
      <c r="C18" s="67" t="s">
        <v>96</v>
      </c>
      <c r="D18" s="67">
        <v>126673</v>
      </c>
      <c r="E18" s="67" t="s">
        <v>96</v>
      </c>
      <c r="F18" s="67" t="s">
        <v>96</v>
      </c>
      <c r="G18" s="67">
        <v>78000</v>
      </c>
      <c r="H18" s="67" t="s">
        <v>96</v>
      </c>
      <c r="I18" s="67">
        <v>88302</v>
      </c>
      <c r="J18" s="67">
        <v>289059</v>
      </c>
      <c r="K18" s="68">
        <v>582034</v>
      </c>
      <c r="L18" s="69">
        <v>0</v>
      </c>
      <c r="M18" s="67">
        <v>0</v>
      </c>
      <c r="N18" s="70">
        <v>0</v>
      </c>
      <c r="O18" s="67">
        <v>14894.62</v>
      </c>
      <c r="P18" s="67">
        <v>27562.3</v>
      </c>
      <c r="Q18" s="67">
        <v>0</v>
      </c>
      <c r="R18" s="71">
        <f t="shared" si="0"/>
        <v>624490.92000000004</v>
      </c>
      <c r="S18" s="14"/>
    </row>
    <row r="19" spans="2:19" s="15" customFormat="1" ht="21" customHeight="1" x14ac:dyDescent="0.4">
      <c r="B19" s="29" t="s">
        <v>111</v>
      </c>
      <c r="C19" s="67">
        <v>2114992</v>
      </c>
      <c r="D19" s="67">
        <v>173933</v>
      </c>
      <c r="E19" s="67" t="s">
        <v>96</v>
      </c>
      <c r="F19" s="67">
        <v>385519</v>
      </c>
      <c r="G19" s="67" t="s">
        <v>96</v>
      </c>
      <c r="H19" s="67">
        <v>384889</v>
      </c>
      <c r="I19" s="67" t="s">
        <v>96</v>
      </c>
      <c r="J19" s="67">
        <v>1348456</v>
      </c>
      <c r="K19" s="68">
        <v>4407789</v>
      </c>
      <c r="L19" s="69">
        <f>92187*1.1</f>
        <v>101405.70000000001</v>
      </c>
      <c r="M19" s="67">
        <v>0</v>
      </c>
      <c r="N19" s="70">
        <v>0</v>
      </c>
      <c r="O19" s="67">
        <v>6510</v>
      </c>
      <c r="P19" s="67">
        <f>8143.1+8143.1+8143.1</f>
        <v>24429.300000000003</v>
      </c>
      <c r="Q19" s="67">
        <v>0</v>
      </c>
      <c r="R19" s="71">
        <f t="shared" si="0"/>
        <v>4540134</v>
      </c>
      <c r="S19" s="14"/>
    </row>
    <row r="20" spans="2:19" s="15" customFormat="1" ht="21" customHeight="1" x14ac:dyDescent="0.4">
      <c r="B20" s="29" t="s">
        <v>112</v>
      </c>
      <c r="C20" s="67">
        <v>3318900</v>
      </c>
      <c r="D20" s="67">
        <v>121331</v>
      </c>
      <c r="E20" s="67" t="s">
        <v>96</v>
      </c>
      <c r="F20" s="67">
        <v>750104</v>
      </c>
      <c r="G20" s="67" t="s">
        <v>96</v>
      </c>
      <c r="H20" s="67" t="s">
        <v>96</v>
      </c>
      <c r="I20" s="67">
        <v>129818</v>
      </c>
      <c r="J20" s="67">
        <v>2596179</v>
      </c>
      <c r="K20" s="68">
        <v>6916332</v>
      </c>
      <c r="L20" s="69">
        <f>356100*1.1</f>
        <v>391710.00000000006</v>
      </c>
      <c r="M20" s="67">
        <f>487746*1.1</f>
        <v>536520.60000000009</v>
      </c>
      <c r="N20" s="70">
        <v>0</v>
      </c>
      <c r="O20" s="67">
        <v>0</v>
      </c>
      <c r="P20" s="67">
        <f>15000</f>
        <v>15000</v>
      </c>
      <c r="Q20" s="67">
        <v>0</v>
      </c>
      <c r="R20" s="71">
        <f t="shared" si="0"/>
        <v>7859562.5999999996</v>
      </c>
      <c r="S20" s="14"/>
    </row>
    <row r="21" spans="2:19" s="15" customFormat="1" ht="21" customHeight="1" x14ac:dyDescent="0.4">
      <c r="B21" s="29" t="s">
        <v>113</v>
      </c>
      <c r="C21" s="67">
        <v>3816417</v>
      </c>
      <c r="D21" s="67">
        <v>158136</v>
      </c>
      <c r="E21" s="67">
        <v>1337897</v>
      </c>
      <c r="F21" s="67">
        <v>179041</v>
      </c>
      <c r="G21" s="67">
        <v>410000</v>
      </c>
      <c r="H21" s="67">
        <v>1656743</v>
      </c>
      <c r="I21" s="67">
        <v>9494</v>
      </c>
      <c r="J21" s="67">
        <v>1976488</v>
      </c>
      <c r="K21" s="68">
        <v>9544216</v>
      </c>
      <c r="L21" s="69">
        <f>996342*1.1</f>
        <v>1095976.2000000002</v>
      </c>
      <c r="M21" s="67">
        <v>0</v>
      </c>
      <c r="N21" s="70">
        <v>0</v>
      </c>
      <c r="O21" s="67">
        <v>4515.9079999999994</v>
      </c>
      <c r="P21" s="67">
        <f>9494.01+9494.01</f>
        <v>18988.02</v>
      </c>
      <c r="Q21" s="67">
        <v>0</v>
      </c>
      <c r="R21" s="71">
        <f t="shared" si="0"/>
        <v>10663696.127999999</v>
      </c>
      <c r="S21" s="14"/>
    </row>
    <row r="22" spans="2:19" s="15" customFormat="1" ht="21" customHeight="1" x14ac:dyDescent="0.4">
      <c r="B22" s="29" t="s">
        <v>114</v>
      </c>
      <c r="C22" s="67">
        <v>2929842</v>
      </c>
      <c r="D22" s="67">
        <v>142587</v>
      </c>
      <c r="E22" s="67">
        <v>2344580</v>
      </c>
      <c r="F22" s="67">
        <v>526821</v>
      </c>
      <c r="G22" s="67">
        <v>15000</v>
      </c>
      <c r="H22" s="67">
        <v>1097313</v>
      </c>
      <c r="I22" s="67">
        <v>9661</v>
      </c>
      <c r="J22" s="67">
        <v>1721766</v>
      </c>
      <c r="K22" s="68">
        <v>8787570</v>
      </c>
      <c r="L22" s="69">
        <f>596784*1.1</f>
        <v>656462.4</v>
      </c>
      <c r="M22" s="67">
        <f>339633.5*1.1</f>
        <v>373596.85000000003</v>
      </c>
      <c r="N22" s="70">
        <v>0</v>
      </c>
      <c r="O22" s="67">
        <v>11009.14</v>
      </c>
      <c r="P22" s="67">
        <f>9660.64+9660.64</f>
        <v>19321.28</v>
      </c>
      <c r="Q22" s="67">
        <v>0</v>
      </c>
      <c r="R22" s="71">
        <f t="shared" si="0"/>
        <v>9847959.6699999999</v>
      </c>
      <c r="S22" s="14"/>
    </row>
    <row r="23" spans="2:19" s="15" customFormat="1" ht="21" customHeight="1" thickBot="1" x14ac:dyDescent="0.45">
      <c r="B23" s="30" t="s">
        <v>4</v>
      </c>
      <c r="C23" s="73">
        <f>SUM(C4:C22)</f>
        <v>89293787</v>
      </c>
      <c r="D23" s="73">
        <f t="shared" ref="D23:Q23" si="1">SUM(D4:D22)</f>
        <v>1794451</v>
      </c>
      <c r="E23" s="73">
        <f t="shared" si="1"/>
        <v>4774627</v>
      </c>
      <c r="F23" s="73">
        <f t="shared" si="1"/>
        <v>2224229</v>
      </c>
      <c r="G23" s="73">
        <f t="shared" si="1"/>
        <v>658000</v>
      </c>
      <c r="H23" s="73">
        <f t="shared" si="1"/>
        <v>8904499</v>
      </c>
      <c r="I23" s="73">
        <f t="shared" si="1"/>
        <v>907747</v>
      </c>
      <c r="J23" s="73">
        <f t="shared" si="1"/>
        <v>16931410</v>
      </c>
      <c r="K23" s="73">
        <f t="shared" si="1"/>
        <v>125488749</v>
      </c>
      <c r="L23" s="73">
        <f t="shared" si="1"/>
        <v>8595776.2000000011</v>
      </c>
      <c r="M23" s="73">
        <f t="shared" si="1"/>
        <v>4127488.4068</v>
      </c>
      <c r="N23" s="74">
        <f t="shared" si="1"/>
        <v>0</v>
      </c>
      <c r="O23" s="73">
        <f t="shared" si="1"/>
        <v>157401.70799999998</v>
      </c>
      <c r="P23" s="73">
        <f>SUM(P4:P22)</f>
        <v>284414.56999999995</v>
      </c>
      <c r="Q23" s="73">
        <f t="shared" si="1"/>
        <v>0</v>
      </c>
      <c r="R23" s="75">
        <f>SUM(R4:R22)</f>
        <v>138653829.88479996</v>
      </c>
      <c r="S23" s="14"/>
    </row>
    <row r="24" spans="2:19" x14ac:dyDescent="0.4">
      <c r="S24" s="14"/>
    </row>
    <row r="25" spans="2:19" x14ac:dyDescent="0.4">
      <c r="S25" s="14"/>
    </row>
    <row r="26" spans="2:19" x14ac:dyDescent="0.4">
      <c r="S26" s="14"/>
    </row>
  </sheetData>
  <mergeCells count="3">
    <mergeCell ref="L3:M3"/>
    <mergeCell ref="N3:O3"/>
    <mergeCell ref="P3:Q3"/>
  </mergeCells>
  <printOptions horizontalCentered="1"/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34BD0-9F58-49BE-B614-0EF63DADA1E4}">
  <sheetPr>
    <pageSetUpPr fitToPage="1"/>
  </sheetPr>
  <dimension ref="B1:T45"/>
  <sheetViews>
    <sheetView topLeftCell="N18" zoomScale="64" zoomScaleNormal="50" zoomScaleSheetLayoutView="100" workbookViewId="0">
      <selection activeCell="U38" sqref="U38"/>
    </sheetView>
  </sheetViews>
  <sheetFormatPr defaultColWidth="9.1328125" defaultRowHeight="13.9" x14ac:dyDescent="0.4"/>
  <cols>
    <col min="1" max="1" width="9.1328125" style="9"/>
    <col min="2" max="2" width="33.46484375" style="116" customWidth="1"/>
    <col min="3" max="3" width="11.9296875" style="38" bestFit="1" customWidth="1"/>
    <col min="4" max="4" width="13.06640625" style="9" customWidth="1"/>
    <col min="5" max="5" width="15.46484375" style="9" customWidth="1"/>
    <col min="6" max="6" width="14.265625" style="9" customWidth="1"/>
    <col min="7" max="7" width="14.6640625" style="9" customWidth="1"/>
    <col min="8" max="8" width="15.46484375" style="9" customWidth="1"/>
    <col min="9" max="9" width="13.46484375" style="9" customWidth="1"/>
    <col min="10" max="10" width="13.06640625" style="9" customWidth="1"/>
    <col min="11" max="11" width="14.6640625" style="9" customWidth="1"/>
    <col min="12" max="12" width="13.06640625" style="9" customWidth="1"/>
    <col min="13" max="13" width="14.6640625" style="9" customWidth="1"/>
    <col min="14" max="14" width="12.6640625" style="9" customWidth="1"/>
    <col min="15" max="15" width="14.265625" style="9" customWidth="1"/>
    <col min="16" max="16" width="16.3984375" style="9" customWidth="1"/>
    <col min="17" max="17" width="11.6640625" style="10" customWidth="1"/>
    <col min="18" max="19" width="10.86328125" style="11" customWidth="1"/>
    <col min="20" max="20" width="10.73046875" style="11" customWidth="1"/>
    <col min="21" max="16384" width="9.1328125" style="9"/>
  </cols>
  <sheetData>
    <row r="1" spans="2:20" ht="14.25" thickBot="1" x14ac:dyDescent="0.45">
      <c r="B1" s="117" t="s">
        <v>167</v>
      </c>
      <c r="C1" s="118" t="s">
        <v>170</v>
      </c>
    </row>
    <row r="2" spans="2:20" ht="23.25" x14ac:dyDescent="0.35">
      <c r="B2" s="111" t="s">
        <v>27</v>
      </c>
      <c r="C2" s="163" t="s">
        <v>28</v>
      </c>
      <c r="D2" s="164">
        <v>2005</v>
      </c>
      <c r="E2" s="164">
        <v>2006</v>
      </c>
      <c r="F2" s="164">
        <v>2007</v>
      </c>
      <c r="G2" s="164">
        <v>2008</v>
      </c>
      <c r="H2" s="164">
        <v>2009</v>
      </c>
      <c r="I2" s="164">
        <v>2010</v>
      </c>
      <c r="J2" s="164">
        <v>2011</v>
      </c>
      <c r="K2" s="164">
        <v>2012</v>
      </c>
      <c r="L2" s="164">
        <v>2013</v>
      </c>
      <c r="M2" s="164">
        <v>2014</v>
      </c>
      <c r="N2" s="164">
        <v>2015</v>
      </c>
      <c r="O2" s="164">
        <v>2016</v>
      </c>
      <c r="P2" s="164">
        <v>2017</v>
      </c>
      <c r="Q2" s="164" t="s">
        <v>29</v>
      </c>
      <c r="R2" s="164">
        <v>2018</v>
      </c>
      <c r="S2" s="164">
        <v>2019</v>
      </c>
      <c r="T2" s="165" t="s">
        <v>61</v>
      </c>
    </row>
    <row r="3" spans="2:20" s="38" customFormat="1" ht="13.5" x14ac:dyDescent="0.35">
      <c r="B3" s="112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 t="s">
        <v>116</v>
      </c>
      <c r="R3" s="166" t="s">
        <v>117</v>
      </c>
      <c r="S3" s="166" t="s">
        <v>118</v>
      </c>
      <c r="T3" s="166" t="s">
        <v>158</v>
      </c>
    </row>
    <row r="4" spans="2:20" s="39" customFormat="1" ht="13.5" x14ac:dyDescent="0.35">
      <c r="B4" s="113" t="s">
        <v>176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>
        <f>SUM(D4:P4)</f>
        <v>0</v>
      </c>
      <c r="R4" s="167"/>
      <c r="S4" s="167"/>
      <c r="T4" s="167">
        <f>Q4+R4+S4</f>
        <v>0</v>
      </c>
    </row>
    <row r="5" spans="2:20" s="39" customFormat="1" ht="23.25" x14ac:dyDescent="0.35">
      <c r="B5" s="120" t="s">
        <v>179</v>
      </c>
      <c r="C5" s="167">
        <f>700000*1.1</f>
        <v>770000.00000000012</v>
      </c>
      <c r="D5" s="167">
        <v>0</v>
      </c>
      <c r="E5" s="167">
        <v>0</v>
      </c>
      <c r="F5" s="167">
        <v>0</v>
      </c>
      <c r="G5" s="167">
        <v>0</v>
      </c>
      <c r="H5" s="167">
        <v>0</v>
      </c>
      <c r="I5" s="167">
        <v>0</v>
      </c>
      <c r="J5" s="167">
        <v>0</v>
      </c>
      <c r="K5" s="167">
        <v>0</v>
      </c>
      <c r="L5" s="167">
        <v>0</v>
      </c>
      <c r="M5" s="167">
        <v>0</v>
      </c>
      <c r="N5" s="167">
        <v>0</v>
      </c>
      <c r="O5" s="167">
        <v>0</v>
      </c>
      <c r="P5" s="167">
        <v>0</v>
      </c>
      <c r="Q5" s="167">
        <f t="shared" ref="Q5:Q43" si="0">SUM(D5:P5)</f>
        <v>0</v>
      </c>
      <c r="R5" s="168">
        <v>26898</v>
      </c>
      <c r="S5" s="168">
        <v>340935</v>
      </c>
      <c r="T5" s="167">
        <f>Q5+R5+S5</f>
        <v>367833</v>
      </c>
    </row>
    <row r="6" spans="2:20" s="39" customFormat="1" ht="13.5" x14ac:dyDescent="0.35">
      <c r="B6" s="120" t="s">
        <v>175</v>
      </c>
      <c r="C6" s="167">
        <v>13534000</v>
      </c>
      <c r="D6" s="167">
        <v>0</v>
      </c>
      <c r="E6" s="167">
        <v>0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v>0</v>
      </c>
      <c r="P6" s="167">
        <v>0</v>
      </c>
      <c r="Q6" s="167">
        <f t="shared" si="0"/>
        <v>0</v>
      </c>
      <c r="R6" s="168">
        <v>160503</v>
      </c>
      <c r="S6" s="168">
        <v>5285642</v>
      </c>
      <c r="T6" s="167">
        <f>Q6+R6+S6</f>
        <v>5446145</v>
      </c>
    </row>
    <row r="7" spans="2:20" s="39" customFormat="1" ht="13.5" x14ac:dyDescent="0.35">
      <c r="B7" s="120" t="s">
        <v>46</v>
      </c>
      <c r="C7" s="167">
        <v>124000000</v>
      </c>
      <c r="D7" s="167">
        <v>0</v>
      </c>
      <c r="E7" s="167">
        <v>0</v>
      </c>
      <c r="F7" s="167">
        <v>0</v>
      </c>
      <c r="G7" s="168">
        <v>110258</v>
      </c>
      <c r="H7" s="168">
        <v>22546829</v>
      </c>
      <c r="I7" s="169"/>
      <c r="J7" s="169">
        <v>17848678</v>
      </c>
      <c r="K7" s="169">
        <v>360821</v>
      </c>
      <c r="L7" s="169">
        <v>10917820</v>
      </c>
      <c r="M7" s="169">
        <v>17525511</v>
      </c>
      <c r="N7" s="169">
        <v>10219675</v>
      </c>
      <c r="O7" s="169">
        <v>8150446</v>
      </c>
      <c r="P7" s="169">
        <v>3121838</v>
      </c>
      <c r="Q7" s="167">
        <f t="shared" si="0"/>
        <v>90801876</v>
      </c>
      <c r="R7" s="168">
        <v>8598460</v>
      </c>
      <c r="S7" s="168">
        <v>16829921</v>
      </c>
      <c r="T7" s="167">
        <f>Q7+R7+S7</f>
        <v>116230257</v>
      </c>
    </row>
    <row r="8" spans="2:20" s="39" customFormat="1" ht="13.5" x14ac:dyDescent="0.35">
      <c r="B8" s="120" t="s">
        <v>142</v>
      </c>
      <c r="C8" s="167">
        <v>88000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f t="shared" si="0"/>
        <v>0</v>
      </c>
      <c r="R8" s="168">
        <v>88000</v>
      </c>
      <c r="S8" s="168">
        <v>0</v>
      </c>
      <c r="T8" s="167">
        <f>Q8+R8+S8</f>
        <v>88000</v>
      </c>
    </row>
    <row r="9" spans="2:20" s="39" customFormat="1" ht="13.5" x14ac:dyDescent="0.35">
      <c r="B9" s="120" t="s">
        <v>56</v>
      </c>
      <c r="C9" s="167">
        <v>6143375</v>
      </c>
      <c r="D9" s="167">
        <v>0</v>
      </c>
      <c r="E9" s="167">
        <v>0</v>
      </c>
      <c r="F9" s="167">
        <v>0</v>
      </c>
      <c r="G9" s="167">
        <v>0</v>
      </c>
      <c r="H9" s="169" t="s">
        <v>49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  <c r="N9" s="169">
        <v>263633</v>
      </c>
      <c r="O9" s="169">
        <v>804063</v>
      </c>
      <c r="P9" s="169">
        <v>1696878</v>
      </c>
      <c r="Q9" s="167">
        <f t="shared" si="0"/>
        <v>2764574</v>
      </c>
      <c r="R9" s="168">
        <v>1116772</v>
      </c>
      <c r="S9" s="168">
        <v>1344078</v>
      </c>
      <c r="T9" s="167">
        <f>Q9+R9+S9</f>
        <v>5225424</v>
      </c>
    </row>
    <row r="10" spans="2:20" s="39" customFormat="1" ht="13.5" x14ac:dyDescent="0.35">
      <c r="B10" s="120" t="s">
        <v>30</v>
      </c>
      <c r="C10" s="167">
        <v>37128000</v>
      </c>
      <c r="D10" s="168">
        <v>735011</v>
      </c>
      <c r="E10" s="168">
        <v>5371246</v>
      </c>
      <c r="F10" s="168">
        <v>8989571</v>
      </c>
      <c r="G10" s="168">
        <v>9486158</v>
      </c>
      <c r="H10" s="168">
        <v>6968155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 t="s">
        <v>33</v>
      </c>
      <c r="O10" s="167" t="s">
        <v>34</v>
      </c>
      <c r="P10" s="167" t="s">
        <v>35</v>
      </c>
      <c r="Q10" s="167">
        <f t="shared" si="0"/>
        <v>31550141</v>
      </c>
      <c r="R10" s="167">
        <v>0</v>
      </c>
      <c r="S10" s="167">
        <v>0</v>
      </c>
      <c r="T10" s="167">
        <f t="shared" ref="T10:T17" si="1">Q10+R10+S10</f>
        <v>31550141</v>
      </c>
    </row>
    <row r="11" spans="2:20" s="39" customFormat="1" ht="13.5" x14ac:dyDescent="0.35">
      <c r="B11" s="120" t="s">
        <v>36</v>
      </c>
      <c r="C11" s="167">
        <v>56000000</v>
      </c>
      <c r="D11" s="168" t="s">
        <v>31</v>
      </c>
      <c r="E11" s="168" t="s">
        <v>37</v>
      </c>
      <c r="F11" s="168" t="s">
        <v>34</v>
      </c>
      <c r="G11" s="168" t="s">
        <v>32</v>
      </c>
      <c r="H11" s="168" t="s">
        <v>37</v>
      </c>
      <c r="I11" s="169">
        <v>1849403</v>
      </c>
      <c r="J11" s="169">
        <v>5210716</v>
      </c>
      <c r="K11" s="169">
        <v>9026429</v>
      </c>
      <c r="L11" s="169">
        <v>8392135</v>
      </c>
      <c r="M11" s="167" t="s">
        <v>96</v>
      </c>
      <c r="N11" s="167" t="s">
        <v>33</v>
      </c>
      <c r="O11" s="167" t="s">
        <v>34</v>
      </c>
      <c r="P11" s="167" t="s">
        <v>35</v>
      </c>
      <c r="Q11" s="167">
        <f t="shared" si="0"/>
        <v>24478683</v>
      </c>
      <c r="R11" s="167">
        <v>0</v>
      </c>
      <c r="S11" s="167">
        <v>0</v>
      </c>
      <c r="T11" s="167">
        <f t="shared" si="1"/>
        <v>24478683</v>
      </c>
    </row>
    <row r="12" spans="2:20" s="39" customFormat="1" ht="13.5" x14ac:dyDescent="0.35">
      <c r="B12" s="120" t="s">
        <v>41</v>
      </c>
      <c r="C12" s="167">
        <v>8288000</v>
      </c>
      <c r="D12" s="168" t="s">
        <v>31</v>
      </c>
      <c r="E12" s="168" t="s">
        <v>37</v>
      </c>
      <c r="F12" s="168" t="s">
        <v>34</v>
      </c>
      <c r="G12" s="168" t="s">
        <v>32</v>
      </c>
      <c r="H12" s="168" t="s">
        <v>37</v>
      </c>
      <c r="I12" s="169" t="s">
        <v>42</v>
      </c>
      <c r="J12" s="169" t="s">
        <v>43</v>
      </c>
      <c r="K12" s="169" t="s">
        <v>38</v>
      </c>
      <c r="L12" s="169" t="s">
        <v>43</v>
      </c>
      <c r="M12" s="169">
        <v>1514164</v>
      </c>
      <c r="N12" s="169">
        <v>2538133</v>
      </c>
      <c r="O12" s="169">
        <v>2199663</v>
      </c>
      <c r="P12" s="169">
        <v>1370728</v>
      </c>
      <c r="Q12" s="167">
        <f t="shared" si="0"/>
        <v>7622688</v>
      </c>
      <c r="R12" s="167">
        <v>0</v>
      </c>
      <c r="S12" s="167">
        <v>0</v>
      </c>
      <c r="T12" s="167">
        <f t="shared" si="1"/>
        <v>7622688</v>
      </c>
    </row>
    <row r="13" spans="2:20" s="39" customFormat="1" ht="13.5" x14ac:dyDescent="0.35">
      <c r="B13" s="120" t="s">
        <v>44</v>
      </c>
      <c r="C13" s="167">
        <v>28068760</v>
      </c>
      <c r="D13" s="168" t="s">
        <v>31</v>
      </c>
      <c r="E13" s="168" t="s">
        <v>37</v>
      </c>
      <c r="F13" s="168" t="s">
        <v>34</v>
      </c>
      <c r="G13" s="168" t="s">
        <v>32</v>
      </c>
      <c r="H13" s="168">
        <v>644266</v>
      </c>
      <c r="I13" s="169">
        <v>3098586</v>
      </c>
      <c r="J13" s="169">
        <v>2060380</v>
      </c>
      <c r="K13" s="169">
        <v>2357130</v>
      </c>
      <c r="L13" s="169">
        <v>4994738</v>
      </c>
      <c r="M13" s="169">
        <v>7425494</v>
      </c>
      <c r="N13" s="169">
        <v>6028514</v>
      </c>
      <c r="O13" s="169">
        <v>1253880</v>
      </c>
      <c r="P13" s="169">
        <v>205772</v>
      </c>
      <c r="Q13" s="167">
        <f t="shared" si="0"/>
        <v>28068760</v>
      </c>
      <c r="R13" s="167">
        <v>0</v>
      </c>
      <c r="S13" s="167">
        <v>0</v>
      </c>
      <c r="T13" s="167">
        <f t="shared" si="1"/>
        <v>28068760</v>
      </c>
    </row>
    <row r="14" spans="2:20" s="39" customFormat="1" ht="13.5" x14ac:dyDescent="0.35">
      <c r="B14" s="120" t="s">
        <v>120</v>
      </c>
      <c r="C14" s="167">
        <v>7153838</v>
      </c>
      <c r="D14" s="168" t="s">
        <v>31</v>
      </c>
      <c r="E14" s="168" t="s">
        <v>37</v>
      </c>
      <c r="F14" s="168" t="s">
        <v>34</v>
      </c>
      <c r="G14" s="168" t="s">
        <v>32</v>
      </c>
      <c r="H14" s="168" t="s">
        <v>31</v>
      </c>
      <c r="I14" s="168" t="s">
        <v>31</v>
      </c>
      <c r="J14" s="168" t="s">
        <v>31</v>
      </c>
      <c r="K14" s="168" t="s">
        <v>31</v>
      </c>
      <c r="L14" s="168" t="s">
        <v>31</v>
      </c>
      <c r="M14" s="168" t="s">
        <v>31</v>
      </c>
      <c r="N14" s="168" t="s">
        <v>31</v>
      </c>
      <c r="O14" s="168" t="s">
        <v>31</v>
      </c>
      <c r="P14" s="168" t="s">
        <v>31</v>
      </c>
      <c r="Q14" s="167">
        <f t="shared" si="0"/>
        <v>0</v>
      </c>
      <c r="R14" s="167">
        <v>0</v>
      </c>
      <c r="S14" s="168">
        <v>2889340</v>
      </c>
      <c r="T14" s="167">
        <f t="shared" si="1"/>
        <v>2889340</v>
      </c>
    </row>
    <row r="15" spans="2:20" s="39" customFormat="1" ht="13.5" x14ac:dyDescent="0.35">
      <c r="B15" s="120" t="s">
        <v>143</v>
      </c>
      <c r="C15" s="167">
        <f>7000000*1.1</f>
        <v>7700000.0000000009</v>
      </c>
      <c r="D15" s="168" t="s">
        <v>31</v>
      </c>
      <c r="E15" s="168" t="s">
        <v>37</v>
      </c>
      <c r="F15" s="168" t="s">
        <v>34</v>
      </c>
      <c r="G15" s="168" t="s">
        <v>32</v>
      </c>
      <c r="H15" s="168" t="s">
        <v>31</v>
      </c>
      <c r="I15" s="168" t="s">
        <v>31</v>
      </c>
      <c r="J15" s="168" t="s">
        <v>31</v>
      </c>
      <c r="K15" s="168" t="s">
        <v>31</v>
      </c>
      <c r="L15" s="168" t="s">
        <v>31</v>
      </c>
      <c r="M15" s="168" t="s">
        <v>31</v>
      </c>
      <c r="N15" s="168" t="s">
        <v>31</v>
      </c>
      <c r="O15" s="168" t="s">
        <v>31</v>
      </c>
      <c r="P15" s="168" t="s">
        <v>31</v>
      </c>
      <c r="Q15" s="167">
        <f t="shared" si="0"/>
        <v>0</v>
      </c>
      <c r="R15" s="168">
        <v>1010515</v>
      </c>
      <c r="S15" s="168">
        <v>1233274</v>
      </c>
      <c r="T15" s="167">
        <f t="shared" si="1"/>
        <v>2243789</v>
      </c>
    </row>
    <row r="16" spans="2:20" s="39" customFormat="1" ht="13.5" x14ac:dyDescent="0.35">
      <c r="B16" s="120" t="s">
        <v>177</v>
      </c>
      <c r="C16" s="167">
        <v>2021080</v>
      </c>
      <c r="D16" s="168" t="s">
        <v>31</v>
      </c>
      <c r="E16" s="168" t="s">
        <v>37</v>
      </c>
      <c r="F16" s="168" t="s">
        <v>34</v>
      </c>
      <c r="G16" s="168" t="s">
        <v>32</v>
      </c>
      <c r="H16" s="168" t="s">
        <v>31</v>
      </c>
      <c r="I16" s="168" t="s">
        <v>31</v>
      </c>
      <c r="J16" s="168" t="s">
        <v>31</v>
      </c>
      <c r="K16" s="168" t="s">
        <v>31</v>
      </c>
      <c r="L16" s="168" t="s">
        <v>31</v>
      </c>
      <c r="M16" s="168" t="s">
        <v>31</v>
      </c>
      <c r="N16" s="168" t="s">
        <v>31</v>
      </c>
      <c r="O16" s="168" t="s">
        <v>31</v>
      </c>
      <c r="P16" s="168">
        <v>366769</v>
      </c>
      <c r="Q16" s="167">
        <f t="shared" si="0"/>
        <v>366769</v>
      </c>
      <c r="R16" s="168">
        <v>1369780</v>
      </c>
      <c r="S16" s="168">
        <v>552927</v>
      </c>
      <c r="T16" s="167">
        <f t="shared" si="1"/>
        <v>2289476</v>
      </c>
    </row>
    <row r="17" spans="2:20" s="39" customFormat="1" ht="34.9" x14ac:dyDescent="0.35">
      <c r="B17" s="120" t="s">
        <v>180</v>
      </c>
      <c r="C17" s="167">
        <f>2318024*1.1</f>
        <v>2549826.4000000004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7">
        <f t="shared" si="0"/>
        <v>0</v>
      </c>
      <c r="R17" s="168">
        <v>0</v>
      </c>
      <c r="S17" s="168">
        <v>1130825</v>
      </c>
      <c r="T17" s="167">
        <f t="shared" si="1"/>
        <v>1130825</v>
      </c>
    </row>
    <row r="18" spans="2:20" s="39" customFormat="1" ht="13.5" x14ac:dyDescent="0.35">
      <c r="B18" s="120" t="s">
        <v>156</v>
      </c>
      <c r="C18" s="167">
        <f>53000000*1.1</f>
        <v>58300000.000000007</v>
      </c>
      <c r="D18" s="168" t="s">
        <v>31</v>
      </c>
      <c r="E18" s="168" t="s">
        <v>37</v>
      </c>
      <c r="F18" s="168" t="s">
        <v>34</v>
      </c>
      <c r="G18" s="168" t="s">
        <v>32</v>
      </c>
      <c r="H18" s="168" t="s">
        <v>31</v>
      </c>
      <c r="I18" s="168" t="s">
        <v>31</v>
      </c>
      <c r="J18" s="168" t="s">
        <v>31</v>
      </c>
      <c r="K18" s="168" t="s">
        <v>31</v>
      </c>
      <c r="L18" s="168" t="s">
        <v>31</v>
      </c>
      <c r="M18" s="168" t="s">
        <v>31</v>
      </c>
      <c r="N18" s="168" t="s">
        <v>31</v>
      </c>
      <c r="O18" s="168" t="s">
        <v>31</v>
      </c>
      <c r="P18" s="168" t="s">
        <v>31</v>
      </c>
      <c r="Q18" s="167">
        <f t="shared" si="0"/>
        <v>0</v>
      </c>
      <c r="R18" s="168">
        <v>1222947</v>
      </c>
      <c r="S18" s="168">
        <v>12759044</v>
      </c>
      <c r="T18" s="167">
        <f>Q18+R18+S18</f>
        <v>13981991</v>
      </c>
    </row>
    <row r="19" spans="2:20" s="39" customFormat="1" ht="13.5" x14ac:dyDescent="0.35">
      <c r="B19" s="137" t="s">
        <v>60</v>
      </c>
      <c r="C19" s="170">
        <f>SUM(C5:C18)</f>
        <v>351744879.39999998</v>
      </c>
      <c r="D19" s="170">
        <f>SUM(D5:D18)</f>
        <v>735011</v>
      </c>
      <c r="E19" s="170">
        <f t="shared" ref="E19:T19" si="2">SUM(E5:E18)</f>
        <v>5371246</v>
      </c>
      <c r="F19" s="170">
        <f t="shared" si="2"/>
        <v>8989571</v>
      </c>
      <c r="G19" s="170">
        <f t="shared" si="2"/>
        <v>9596416</v>
      </c>
      <c r="H19" s="170">
        <f t="shared" si="2"/>
        <v>30159250</v>
      </c>
      <c r="I19" s="170">
        <f t="shared" si="2"/>
        <v>4947989</v>
      </c>
      <c r="J19" s="170">
        <f t="shared" si="2"/>
        <v>25119774</v>
      </c>
      <c r="K19" s="170">
        <f t="shared" si="2"/>
        <v>11744380</v>
      </c>
      <c r="L19" s="170">
        <f t="shared" si="2"/>
        <v>24304693</v>
      </c>
      <c r="M19" s="170">
        <f t="shared" si="2"/>
        <v>26465169</v>
      </c>
      <c r="N19" s="170">
        <f t="shared" si="2"/>
        <v>19049955</v>
      </c>
      <c r="O19" s="170">
        <f t="shared" si="2"/>
        <v>12408052</v>
      </c>
      <c r="P19" s="170">
        <f t="shared" ref="P19" si="3">SUM(P5:P18)</f>
        <v>6761985</v>
      </c>
      <c r="Q19" s="170">
        <f t="shared" ref="Q19" si="4">SUM(Q5:Q18)</f>
        <v>185653491</v>
      </c>
      <c r="R19" s="170">
        <f t="shared" ref="R19" si="5">SUM(R5:R18)</f>
        <v>13593875</v>
      </c>
      <c r="S19" s="170">
        <f t="shared" ref="S19" si="6">SUM(S5:S18)</f>
        <v>42365986</v>
      </c>
      <c r="T19" s="170">
        <f t="shared" ref="T19" si="7">SUM(T5:T18)</f>
        <v>241613352</v>
      </c>
    </row>
    <row r="20" spans="2:20" s="39" customFormat="1" ht="13.5" x14ac:dyDescent="0.35">
      <c r="B20" s="114" t="s">
        <v>145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7">
        <f t="shared" si="0"/>
        <v>0</v>
      </c>
      <c r="R20" s="169"/>
      <c r="S20" s="169"/>
      <c r="T20" s="167">
        <f>Q20+R20+S20</f>
        <v>0</v>
      </c>
    </row>
    <row r="21" spans="2:20" s="39" customFormat="1" ht="13.5" x14ac:dyDescent="0.35">
      <c r="B21" s="120" t="s">
        <v>52</v>
      </c>
      <c r="C21" s="170">
        <v>5386076</v>
      </c>
      <c r="D21" s="168" t="s">
        <v>31</v>
      </c>
      <c r="E21" s="168" t="s">
        <v>37</v>
      </c>
      <c r="F21" s="167" t="s">
        <v>34</v>
      </c>
      <c r="G21" s="167" t="s">
        <v>32</v>
      </c>
      <c r="H21" s="167" t="s">
        <v>37</v>
      </c>
      <c r="I21" s="169" t="s">
        <v>42</v>
      </c>
      <c r="J21" s="169" t="s">
        <v>43</v>
      </c>
      <c r="K21" s="169" t="s">
        <v>38</v>
      </c>
      <c r="L21" s="169" t="s">
        <v>43</v>
      </c>
      <c r="M21" s="169" t="s">
        <v>38</v>
      </c>
      <c r="N21" s="169" t="s">
        <v>35</v>
      </c>
      <c r="O21" s="169" t="s">
        <v>39</v>
      </c>
      <c r="P21" s="169">
        <v>289462</v>
      </c>
      <c r="Q21" s="167">
        <f t="shared" si="0"/>
        <v>289462</v>
      </c>
      <c r="R21" s="168">
        <v>2531369</v>
      </c>
      <c r="S21" s="168">
        <v>2445202</v>
      </c>
      <c r="T21" s="167">
        <f>Q21+R21+S21</f>
        <v>5266033</v>
      </c>
    </row>
    <row r="22" spans="2:20" s="39" customFormat="1" ht="13.5" x14ac:dyDescent="0.35">
      <c r="B22" s="120" t="s">
        <v>57</v>
      </c>
      <c r="C22" s="167">
        <v>8600000</v>
      </c>
      <c r="D22" s="168" t="s">
        <v>31</v>
      </c>
      <c r="E22" s="168" t="s">
        <v>37</v>
      </c>
      <c r="F22" s="167" t="s">
        <v>34</v>
      </c>
      <c r="G22" s="167" t="s">
        <v>32</v>
      </c>
      <c r="H22" s="167" t="s">
        <v>37</v>
      </c>
      <c r="I22" s="169" t="s">
        <v>42</v>
      </c>
      <c r="J22" s="169" t="s">
        <v>43</v>
      </c>
      <c r="K22" s="169">
        <v>200000</v>
      </c>
      <c r="L22" s="169" t="s">
        <v>43</v>
      </c>
      <c r="M22" s="169">
        <v>350000</v>
      </c>
      <c r="N22" s="169">
        <v>250000</v>
      </c>
      <c r="O22" s="169">
        <v>3039608</v>
      </c>
      <c r="P22" s="169">
        <v>693051</v>
      </c>
      <c r="Q22" s="167">
        <f t="shared" si="0"/>
        <v>4532659</v>
      </c>
      <c r="R22" s="168">
        <v>829242</v>
      </c>
      <c r="S22" s="168">
        <v>2356000</v>
      </c>
      <c r="T22" s="167">
        <f>Q22+R22+S22</f>
        <v>7717901</v>
      </c>
    </row>
    <row r="23" spans="2:20" s="39" customFormat="1" ht="13.5" x14ac:dyDescent="0.35">
      <c r="B23" s="120" t="s">
        <v>55</v>
      </c>
      <c r="C23" s="167">
        <v>962850</v>
      </c>
      <c r="D23" s="168" t="s">
        <v>31</v>
      </c>
      <c r="E23" s="168" t="s">
        <v>37</v>
      </c>
      <c r="F23" s="167" t="s">
        <v>34</v>
      </c>
      <c r="G23" s="167" t="s">
        <v>32</v>
      </c>
      <c r="H23" s="167" t="s">
        <v>37</v>
      </c>
      <c r="I23" s="169" t="s">
        <v>42</v>
      </c>
      <c r="J23" s="169" t="s">
        <v>43</v>
      </c>
      <c r="K23" s="169"/>
      <c r="L23" s="169"/>
      <c r="M23" s="169">
        <v>130188</v>
      </c>
      <c r="N23" s="169">
        <v>281571</v>
      </c>
      <c r="O23" s="169">
        <v>128716</v>
      </c>
      <c r="P23" s="169">
        <v>43659</v>
      </c>
      <c r="Q23" s="167">
        <f t="shared" si="0"/>
        <v>584134</v>
      </c>
      <c r="R23" s="168">
        <v>50146</v>
      </c>
      <c r="S23" s="168">
        <v>0</v>
      </c>
      <c r="T23" s="167">
        <f>Q23+R23+S23</f>
        <v>634280</v>
      </c>
    </row>
    <row r="24" spans="2:20" s="39" customFormat="1" ht="13.5" x14ac:dyDescent="0.35">
      <c r="B24" s="120" t="s">
        <v>50</v>
      </c>
      <c r="C24" s="167">
        <v>7500000</v>
      </c>
      <c r="D24" s="168" t="s">
        <v>31</v>
      </c>
      <c r="E24" s="168" t="s">
        <v>37</v>
      </c>
      <c r="F24" s="167" t="s">
        <v>34</v>
      </c>
      <c r="G24" s="167" t="s">
        <v>32</v>
      </c>
      <c r="H24" s="167" t="s">
        <v>37</v>
      </c>
      <c r="I24" s="169" t="s">
        <v>42</v>
      </c>
      <c r="J24" s="169" t="s">
        <v>43</v>
      </c>
      <c r="K24" s="169" t="s">
        <v>38</v>
      </c>
      <c r="L24" s="169" t="s">
        <v>43</v>
      </c>
      <c r="M24" s="169">
        <v>199491</v>
      </c>
      <c r="N24" s="169">
        <v>1597502</v>
      </c>
      <c r="O24" s="169">
        <v>2424212</v>
      </c>
      <c r="P24" s="169">
        <v>1401295</v>
      </c>
      <c r="Q24" s="167">
        <f t="shared" si="0"/>
        <v>5622500</v>
      </c>
      <c r="R24" s="168">
        <v>541375</v>
      </c>
      <c r="S24" s="169">
        <v>0</v>
      </c>
      <c r="T24" s="167">
        <f>Q24+R24+S24</f>
        <v>6163875</v>
      </c>
    </row>
    <row r="25" spans="2:20" s="39" customFormat="1" ht="13.5" x14ac:dyDescent="0.35">
      <c r="B25" s="120" t="s">
        <v>123</v>
      </c>
      <c r="C25" s="167">
        <v>10049777</v>
      </c>
      <c r="D25" s="168" t="s">
        <v>31</v>
      </c>
      <c r="E25" s="168" t="s">
        <v>37</v>
      </c>
      <c r="F25" s="168" t="s">
        <v>34</v>
      </c>
      <c r="G25" s="168" t="s">
        <v>32</v>
      </c>
      <c r="H25" s="168">
        <v>3206433</v>
      </c>
      <c r="I25" s="169">
        <v>686993</v>
      </c>
      <c r="J25" s="169">
        <v>635235</v>
      </c>
      <c r="K25" s="169">
        <v>119993</v>
      </c>
      <c r="L25" s="169">
        <v>2290010</v>
      </c>
      <c r="M25" s="169" t="s">
        <v>38</v>
      </c>
      <c r="N25" s="169" t="s">
        <v>35</v>
      </c>
      <c r="O25" s="169">
        <v>2080850</v>
      </c>
      <c r="P25" s="169">
        <v>0</v>
      </c>
      <c r="Q25" s="167">
        <f t="shared" si="0"/>
        <v>9019514</v>
      </c>
      <c r="R25" s="168">
        <v>341570</v>
      </c>
      <c r="S25" s="168">
        <v>176000</v>
      </c>
      <c r="T25" s="167">
        <f>Q25+R25+S25</f>
        <v>9537084</v>
      </c>
    </row>
    <row r="26" spans="2:20" s="39" customFormat="1" ht="13.5" x14ac:dyDescent="0.35">
      <c r="B26" s="120" t="s">
        <v>122</v>
      </c>
      <c r="C26" s="167">
        <v>1887407</v>
      </c>
      <c r="D26" s="168" t="s">
        <v>31</v>
      </c>
      <c r="E26" s="168" t="s">
        <v>37</v>
      </c>
      <c r="F26" s="168" t="s">
        <v>34</v>
      </c>
      <c r="G26" s="168" t="s">
        <v>32</v>
      </c>
      <c r="H26" s="168" t="s">
        <v>32</v>
      </c>
      <c r="I26" s="168" t="s">
        <v>32</v>
      </c>
      <c r="J26" s="168" t="s">
        <v>32</v>
      </c>
      <c r="K26" s="168" t="s">
        <v>32</v>
      </c>
      <c r="L26" s="168" t="s">
        <v>32</v>
      </c>
      <c r="M26" s="168" t="s">
        <v>32</v>
      </c>
      <c r="N26" s="168" t="s">
        <v>32</v>
      </c>
      <c r="O26" s="169"/>
      <c r="P26" s="169">
        <v>1030403</v>
      </c>
      <c r="Q26" s="167">
        <f t="shared" si="0"/>
        <v>1030403</v>
      </c>
      <c r="R26" s="168">
        <v>456581</v>
      </c>
      <c r="S26" s="168">
        <v>400423</v>
      </c>
      <c r="T26" s="167">
        <f>Q26+R26+S26</f>
        <v>1887407</v>
      </c>
    </row>
    <row r="27" spans="2:20" s="39" customFormat="1" ht="13.5" x14ac:dyDescent="0.35">
      <c r="B27" s="120" t="s">
        <v>51</v>
      </c>
      <c r="C27" s="167">
        <v>5000000</v>
      </c>
      <c r="D27" s="168" t="s">
        <v>31</v>
      </c>
      <c r="E27" s="168" t="s">
        <v>37</v>
      </c>
      <c r="F27" s="168" t="s">
        <v>34</v>
      </c>
      <c r="G27" s="168" t="s">
        <v>32</v>
      </c>
      <c r="H27" s="168" t="s">
        <v>32</v>
      </c>
      <c r="I27" s="168" t="s">
        <v>32</v>
      </c>
      <c r="J27" s="168" t="s">
        <v>32</v>
      </c>
      <c r="K27" s="168" t="s">
        <v>32</v>
      </c>
      <c r="L27" s="168" t="s">
        <v>32</v>
      </c>
      <c r="M27" s="168" t="s">
        <v>32</v>
      </c>
      <c r="N27" s="168" t="s">
        <v>32</v>
      </c>
      <c r="O27" s="169">
        <v>64962</v>
      </c>
      <c r="P27" s="169">
        <v>512476</v>
      </c>
      <c r="Q27" s="167">
        <f t="shared" si="0"/>
        <v>577438</v>
      </c>
      <c r="R27" s="168"/>
      <c r="S27" s="168"/>
      <c r="T27" s="167">
        <f>Q27+R27+S27</f>
        <v>577438</v>
      </c>
    </row>
    <row r="28" spans="2:20" s="39" customFormat="1" ht="13.5" x14ac:dyDescent="0.35">
      <c r="B28" s="121" t="s">
        <v>157</v>
      </c>
      <c r="C28" s="169">
        <v>100000</v>
      </c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7">
        <f t="shared" si="0"/>
        <v>0</v>
      </c>
      <c r="R28" s="169"/>
      <c r="S28" s="169">
        <v>100000</v>
      </c>
      <c r="T28" s="167">
        <f>Q28+R28+S28</f>
        <v>100000</v>
      </c>
    </row>
    <row r="29" spans="2:20" s="39" customFormat="1" ht="13.5" x14ac:dyDescent="0.35">
      <c r="B29" s="114" t="s">
        <v>60</v>
      </c>
      <c r="C29" s="170">
        <f>SUM(C21:C28)</f>
        <v>39486110</v>
      </c>
      <c r="D29" s="170">
        <f t="shared" ref="D29:T29" si="8">SUM(D21:D28)</f>
        <v>0</v>
      </c>
      <c r="E29" s="170">
        <f t="shared" si="8"/>
        <v>0</v>
      </c>
      <c r="F29" s="170">
        <f t="shared" si="8"/>
        <v>0</v>
      </c>
      <c r="G29" s="170">
        <f t="shared" si="8"/>
        <v>0</v>
      </c>
      <c r="H29" s="170">
        <f t="shared" si="8"/>
        <v>3206433</v>
      </c>
      <c r="I29" s="170">
        <f t="shared" si="8"/>
        <v>686993</v>
      </c>
      <c r="J29" s="170">
        <f t="shared" si="8"/>
        <v>635235</v>
      </c>
      <c r="K29" s="170">
        <f t="shared" si="8"/>
        <v>319993</v>
      </c>
      <c r="L29" s="170">
        <f t="shared" si="8"/>
        <v>2290010</v>
      </c>
      <c r="M29" s="170">
        <f t="shared" si="8"/>
        <v>679679</v>
      </c>
      <c r="N29" s="170">
        <f t="shared" si="8"/>
        <v>2129073</v>
      </c>
      <c r="O29" s="170">
        <f t="shared" si="8"/>
        <v>7738348</v>
      </c>
      <c r="P29" s="170">
        <f t="shared" si="8"/>
        <v>3970346</v>
      </c>
      <c r="Q29" s="170">
        <f t="shared" si="8"/>
        <v>21656110</v>
      </c>
      <c r="R29" s="170">
        <f t="shared" si="8"/>
        <v>4750283</v>
      </c>
      <c r="S29" s="170">
        <f t="shared" si="8"/>
        <v>5477625</v>
      </c>
      <c r="T29" s="170">
        <f t="shared" si="8"/>
        <v>31884018</v>
      </c>
    </row>
    <row r="30" spans="2:20" s="39" customFormat="1" ht="13.5" x14ac:dyDescent="0.35">
      <c r="B30" s="113" t="s">
        <v>144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7">
        <f t="shared" si="0"/>
        <v>0</v>
      </c>
      <c r="R30" s="169"/>
      <c r="S30" s="169"/>
      <c r="T30" s="167">
        <f>Q30+R30+S30</f>
        <v>0</v>
      </c>
    </row>
    <row r="31" spans="2:20" s="39" customFormat="1" ht="13.5" x14ac:dyDescent="0.35">
      <c r="B31" s="120" t="s">
        <v>53</v>
      </c>
      <c r="C31" s="170">
        <v>7341958.9299999997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 t="s">
        <v>42</v>
      </c>
      <c r="J31" s="169">
        <v>383782</v>
      </c>
      <c r="K31" s="169">
        <v>855644</v>
      </c>
      <c r="L31" s="169">
        <v>1107252</v>
      </c>
      <c r="M31" s="169">
        <v>1134647</v>
      </c>
      <c r="N31" s="169">
        <v>944476</v>
      </c>
      <c r="O31" s="169">
        <f>814332.85*1.1</f>
        <v>895766.13500000001</v>
      </c>
      <c r="P31" s="169">
        <v>920433.79</v>
      </c>
      <c r="Q31" s="167">
        <f t="shared" si="0"/>
        <v>6242000.9249999998</v>
      </c>
      <c r="R31" s="168">
        <v>582597</v>
      </c>
      <c r="S31" s="168">
        <v>517361</v>
      </c>
      <c r="T31" s="167">
        <f>Q31+R31+S31</f>
        <v>7341958.9249999998</v>
      </c>
    </row>
    <row r="32" spans="2:20" s="39" customFormat="1" ht="13.5" x14ac:dyDescent="0.35">
      <c r="B32" s="120" t="s">
        <v>146</v>
      </c>
      <c r="C32" s="170">
        <v>5000000</v>
      </c>
      <c r="D32" s="169">
        <v>0</v>
      </c>
      <c r="E32" s="169">
        <v>0</v>
      </c>
      <c r="F32" s="169">
        <v>0</v>
      </c>
      <c r="G32" s="169">
        <v>0</v>
      </c>
      <c r="H32" s="169">
        <v>0</v>
      </c>
      <c r="I32" s="169" t="s">
        <v>42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  <c r="Q32" s="167">
        <f t="shared" si="0"/>
        <v>0</v>
      </c>
      <c r="R32" s="168">
        <v>1443327</v>
      </c>
      <c r="S32" s="168">
        <v>1666000</v>
      </c>
      <c r="T32" s="167">
        <f>Q32+R32+S32</f>
        <v>3109327</v>
      </c>
    </row>
    <row r="33" spans="2:20" s="39" customFormat="1" ht="13.5" x14ac:dyDescent="0.35">
      <c r="B33" s="120" t="s">
        <v>54</v>
      </c>
      <c r="C33" s="170">
        <v>10000000</v>
      </c>
      <c r="D33" s="169">
        <v>0</v>
      </c>
      <c r="E33" s="169">
        <v>0</v>
      </c>
      <c r="F33" s="169">
        <v>0</v>
      </c>
      <c r="G33" s="169">
        <v>0</v>
      </c>
      <c r="H33" s="169">
        <v>0</v>
      </c>
      <c r="I33" s="169" t="s">
        <v>42</v>
      </c>
      <c r="J33" s="169">
        <v>0</v>
      </c>
      <c r="K33" s="169">
        <v>0</v>
      </c>
      <c r="L33" s="169">
        <v>118248</v>
      </c>
      <c r="M33" s="169">
        <v>199657</v>
      </c>
      <c r="N33" s="169">
        <v>174797</v>
      </c>
      <c r="O33" s="169"/>
      <c r="P33" s="169"/>
      <c r="Q33" s="167">
        <f t="shared" si="0"/>
        <v>492702</v>
      </c>
      <c r="R33" s="168">
        <v>0</v>
      </c>
      <c r="S33" s="168">
        <v>0</v>
      </c>
      <c r="T33" s="167">
        <f>Q33+R33+S33</f>
        <v>492702</v>
      </c>
    </row>
    <row r="34" spans="2:20" s="39" customFormat="1" ht="13.5" x14ac:dyDescent="0.35">
      <c r="B34" s="120" t="s">
        <v>119</v>
      </c>
      <c r="C34" s="167">
        <v>48728000</v>
      </c>
      <c r="D34" s="169">
        <v>0</v>
      </c>
      <c r="E34" s="169">
        <v>0</v>
      </c>
      <c r="F34" s="169">
        <v>0</v>
      </c>
      <c r="G34" s="169">
        <v>0</v>
      </c>
      <c r="H34" s="169">
        <v>0</v>
      </c>
      <c r="I34" s="169" t="s">
        <v>42</v>
      </c>
      <c r="J34" s="169">
        <v>0</v>
      </c>
      <c r="K34" s="169">
        <v>0</v>
      </c>
      <c r="L34" s="169">
        <v>0</v>
      </c>
      <c r="M34" s="169">
        <v>0</v>
      </c>
      <c r="N34" s="169">
        <v>0</v>
      </c>
      <c r="O34" s="169">
        <v>0</v>
      </c>
      <c r="P34" s="169">
        <v>0</v>
      </c>
      <c r="Q34" s="167">
        <f t="shared" si="0"/>
        <v>0</v>
      </c>
      <c r="R34" s="168">
        <v>0</v>
      </c>
      <c r="S34" s="168"/>
      <c r="T34" s="167">
        <f>Q34+R34+S34</f>
        <v>0</v>
      </c>
    </row>
    <row r="35" spans="2:20" s="39" customFormat="1" ht="13.5" x14ac:dyDescent="0.35">
      <c r="B35" s="120" t="s">
        <v>174</v>
      </c>
      <c r="C35" s="167">
        <v>19600000</v>
      </c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7">
        <f t="shared" si="0"/>
        <v>0</v>
      </c>
      <c r="R35" s="168">
        <v>331593</v>
      </c>
      <c r="S35" s="168">
        <v>1195745</v>
      </c>
      <c r="T35" s="167">
        <f>Q35+R35+S35</f>
        <v>1527338</v>
      </c>
    </row>
    <row r="36" spans="2:20" s="39" customFormat="1" ht="13.5" x14ac:dyDescent="0.35">
      <c r="B36" s="122" t="s">
        <v>141</v>
      </c>
      <c r="C36" s="170">
        <v>223612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67">
        <f t="shared" si="0"/>
        <v>0</v>
      </c>
      <c r="R36" s="168">
        <v>52804</v>
      </c>
      <c r="S36" s="168">
        <v>170808</v>
      </c>
      <c r="T36" s="167">
        <f>Q36+R36+S36</f>
        <v>223612</v>
      </c>
    </row>
    <row r="37" spans="2:20" s="39" customFormat="1" ht="13.5" x14ac:dyDescent="0.35">
      <c r="B37" s="120" t="s">
        <v>47</v>
      </c>
      <c r="C37" s="167">
        <v>29923399</v>
      </c>
      <c r="D37" s="168" t="s">
        <v>31</v>
      </c>
      <c r="E37" s="168" t="s">
        <v>37</v>
      </c>
      <c r="F37" s="168" t="s">
        <v>34</v>
      </c>
      <c r="G37" s="168">
        <v>1230752</v>
      </c>
      <c r="H37" s="168">
        <v>2516860</v>
      </c>
      <c r="I37" s="169">
        <v>3718749</v>
      </c>
      <c r="J37" s="169">
        <v>2406471</v>
      </c>
      <c r="K37" s="169">
        <v>4566601</v>
      </c>
      <c r="L37" s="169">
        <v>3927634</v>
      </c>
      <c r="M37" s="169">
        <v>2876867</v>
      </c>
      <c r="N37" s="169">
        <v>2876867</v>
      </c>
      <c r="O37" s="169">
        <v>2437672</v>
      </c>
      <c r="P37" s="169">
        <v>3364926</v>
      </c>
      <c r="Q37" s="167">
        <f t="shared" si="0"/>
        <v>29923399</v>
      </c>
      <c r="R37" s="168"/>
      <c r="S37" s="168"/>
      <c r="T37" s="167">
        <f>Q37+R37+S37</f>
        <v>29923399</v>
      </c>
    </row>
    <row r="38" spans="2:20" s="39" customFormat="1" ht="13.5" x14ac:dyDescent="0.35">
      <c r="B38" s="120" t="s">
        <v>48</v>
      </c>
      <c r="C38" s="167">
        <v>4610027</v>
      </c>
      <c r="D38" s="169" t="s">
        <v>43</v>
      </c>
      <c r="E38" s="169" t="s">
        <v>49</v>
      </c>
      <c r="F38" s="169" t="s">
        <v>39</v>
      </c>
      <c r="G38" s="169" t="s">
        <v>38</v>
      </c>
      <c r="H38" s="169" t="s">
        <v>49</v>
      </c>
      <c r="I38" s="169" t="s">
        <v>42</v>
      </c>
      <c r="J38" s="169" t="s">
        <v>43</v>
      </c>
      <c r="K38" s="169" t="s">
        <v>38</v>
      </c>
      <c r="L38" s="169">
        <v>12401</v>
      </c>
      <c r="M38" s="169">
        <v>362865</v>
      </c>
      <c r="N38" s="169">
        <v>950389</v>
      </c>
      <c r="O38" s="169">
        <v>873825</v>
      </c>
      <c r="P38" s="169">
        <v>2410547</v>
      </c>
      <c r="Q38" s="167">
        <f t="shared" si="0"/>
        <v>4610027</v>
      </c>
      <c r="R38" s="168"/>
      <c r="S38" s="168"/>
      <c r="T38" s="167">
        <f>Q38+R38+S38</f>
        <v>4610027</v>
      </c>
    </row>
    <row r="39" spans="2:20" s="39" customFormat="1" ht="13.5" x14ac:dyDescent="0.35">
      <c r="B39" s="120" t="s">
        <v>45</v>
      </c>
      <c r="C39" s="167">
        <v>8100000</v>
      </c>
      <c r="D39" s="168" t="s">
        <v>31</v>
      </c>
      <c r="E39" s="168" t="s">
        <v>37</v>
      </c>
      <c r="F39" s="168">
        <v>721872</v>
      </c>
      <c r="G39" s="168">
        <v>668210</v>
      </c>
      <c r="H39" s="168">
        <v>371962</v>
      </c>
      <c r="I39" s="169">
        <v>195066</v>
      </c>
      <c r="J39" s="169">
        <v>780266</v>
      </c>
      <c r="K39" s="169">
        <v>971790</v>
      </c>
      <c r="L39" s="169">
        <v>1792830</v>
      </c>
      <c r="M39" s="169">
        <v>1007645</v>
      </c>
      <c r="N39" s="169">
        <v>983414</v>
      </c>
      <c r="O39" s="169" t="s">
        <v>39</v>
      </c>
      <c r="P39" s="169" t="s">
        <v>40</v>
      </c>
      <c r="Q39" s="167">
        <f t="shared" si="0"/>
        <v>7493055</v>
      </c>
      <c r="R39" s="168"/>
      <c r="S39" s="168"/>
      <c r="T39" s="167">
        <f>Q39+R39+S39</f>
        <v>7493055</v>
      </c>
    </row>
    <row r="40" spans="2:20" s="39" customFormat="1" ht="13.5" x14ac:dyDescent="0.35">
      <c r="B40" s="120" t="s">
        <v>131</v>
      </c>
      <c r="C40" s="167">
        <v>1529903</v>
      </c>
      <c r="D40" s="169" t="s">
        <v>43</v>
      </c>
      <c r="E40" s="169" t="s">
        <v>49</v>
      </c>
      <c r="F40" s="169" t="s">
        <v>39</v>
      </c>
      <c r="G40" s="169" t="s">
        <v>38</v>
      </c>
      <c r="H40" s="169" t="s">
        <v>49</v>
      </c>
      <c r="I40" s="169" t="s">
        <v>42</v>
      </c>
      <c r="J40" s="169"/>
      <c r="K40" s="169"/>
      <c r="L40" s="169">
        <v>296218</v>
      </c>
      <c r="M40" s="169">
        <v>108896</v>
      </c>
      <c r="N40" s="169">
        <v>115759</v>
      </c>
      <c r="O40" s="169">
        <v>507759</v>
      </c>
      <c r="P40" s="169">
        <v>117484</v>
      </c>
      <c r="Q40" s="167">
        <f t="shared" si="0"/>
        <v>1146116</v>
      </c>
      <c r="R40" s="168">
        <v>0</v>
      </c>
      <c r="S40" s="168">
        <v>0</v>
      </c>
      <c r="T40" s="167">
        <f>Q40+R40+S40</f>
        <v>1146116</v>
      </c>
    </row>
    <row r="41" spans="2:20" s="39" customFormat="1" ht="13.5" x14ac:dyDescent="0.35">
      <c r="B41" s="120" t="s">
        <v>132</v>
      </c>
      <c r="C41" s="167">
        <v>150000000</v>
      </c>
      <c r="D41" s="168" t="s">
        <v>31</v>
      </c>
      <c r="E41" s="168" t="s">
        <v>37</v>
      </c>
      <c r="F41" s="168" t="s">
        <v>34</v>
      </c>
      <c r="G41" s="168" t="s">
        <v>32</v>
      </c>
      <c r="H41" s="168" t="s">
        <v>37</v>
      </c>
      <c r="I41" s="169">
        <v>6245337</v>
      </c>
      <c r="J41" s="169">
        <v>9542203</v>
      </c>
      <c r="K41" s="169">
        <v>13781469</v>
      </c>
      <c r="L41" s="169">
        <v>12340415</v>
      </c>
      <c r="M41" s="169" t="s">
        <v>38</v>
      </c>
      <c r="N41" s="169" t="s">
        <v>35</v>
      </c>
      <c r="O41" s="169" t="s">
        <v>39</v>
      </c>
      <c r="P41" s="169" t="s">
        <v>40</v>
      </c>
      <c r="Q41" s="167">
        <f t="shared" si="0"/>
        <v>41909424</v>
      </c>
      <c r="R41" s="168">
        <v>0</v>
      </c>
      <c r="S41" s="168">
        <v>0</v>
      </c>
      <c r="T41" s="167">
        <f>Q41+R41+S41</f>
        <v>41909424</v>
      </c>
    </row>
    <row r="42" spans="2:20" s="39" customFormat="1" ht="13.5" x14ac:dyDescent="0.35">
      <c r="B42" s="120" t="s">
        <v>133</v>
      </c>
      <c r="C42" s="167">
        <v>1459500</v>
      </c>
      <c r="D42" s="168">
        <v>729750</v>
      </c>
      <c r="E42" s="168">
        <v>729750</v>
      </c>
      <c r="F42" s="168">
        <v>0</v>
      </c>
      <c r="G42" s="168">
        <v>0</v>
      </c>
      <c r="H42" s="168">
        <v>0</v>
      </c>
      <c r="I42" s="169">
        <v>0</v>
      </c>
      <c r="J42" s="169">
        <v>0</v>
      </c>
      <c r="K42" s="169">
        <v>0</v>
      </c>
      <c r="L42" s="169">
        <v>0</v>
      </c>
      <c r="M42" s="169">
        <v>0</v>
      </c>
      <c r="N42" s="169">
        <v>0</v>
      </c>
      <c r="O42" s="169">
        <v>0</v>
      </c>
      <c r="P42" s="169">
        <v>0</v>
      </c>
      <c r="Q42" s="167">
        <f t="shared" si="0"/>
        <v>1459500</v>
      </c>
      <c r="R42" s="168">
        <v>0</v>
      </c>
      <c r="S42" s="168">
        <v>0</v>
      </c>
      <c r="T42" s="167">
        <f>Q42+R42+S42</f>
        <v>1459500</v>
      </c>
    </row>
    <row r="43" spans="2:20" s="39" customFormat="1" ht="13.5" x14ac:dyDescent="0.35">
      <c r="B43" s="122" t="s">
        <v>58</v>
      </c>
      <c r="C43" s="170">
        <v>878115</v>
      </c>
      <c r="D43" s="169"/>
      <c r="E43" s="168" t="s">
        <v>37</v>
      </c>
      <c r="F43" s="168" t="s">
        <v>34</v>
      </c>
      <c r="G43" s="168" t="s">
        <v>32</v>
      </c>
      <c r="H43" s="168" t="s">
        <v>37</v>
      </c>
      <c r="I43" s="169" t="s">
        <v>42</v>
      </c>
      <c r="J43" s="169">
        <v>0</v>
      </c>
      <c r="K43" s="169">
        <v>0</v>
      </c>
      <c r="L43" s="169" t="s">
        <v>43</v>
      </c>
      <c r="M43" s="169" t="s">
        <v>38</v>
      </c>
      <c r="N43" s="169" t="s">
        <v>35</v>
      </c>
      <c r="O43" s="169">
        <v>36241</v>
      </c>
      <c r="P43" s="169">
        <v>71874</v>
      </c>
      <c r="Q43" s="167">
        <f t="shared" si="0"/>
        <v>108115</v>
      </c>
      <c r="R43" s="168">
        <v>0</v>
      </c>
      <c r="S43" s="168">
        <v>770000</v>
      </c>
      <c r="T43" s="167">
        <f>Q43+R43+S43</f>
        <v>878115</v>
      </c>
    </row>
    <row r="44" spans="2:20" s="39" customFormat="1" ht="13.5" x14ac:dyDescent="0.35">
      <c r="B44" s="119" t="s">
        <v>60</v>
      </c>
      <c r="C44" s="170">
        <f>SUM(C31:C43)</f>
        <v>287394514.93000001</v>
      </c>
      <c r="D44" s="170">
        <f t="shared" ref="D44:T44" si="9">SUM(D31:D43)</f>
        <v>729750</v>
      </c>
      <c r="E44" s="170">
        <f t="shared" si="9"/>
        <v>729750</v>
      </c>
      <c r="F44" s="170">
        <f t="shared" si="9"/>
        <v>721872</v>
      </c>
      <c r="G44" s="170">
        <f t="shared" si="9"/>
        <v>1898962</v>
      </c>
      <c r="H44" s="170">
        <f t="shared" si="9"/>
        <v>2888822</v>
      </c>
      <c r="I44" s="170">
        <f t="shared" si="9"/>
        <v>10159152</v>
      </c>
      <c r="J44" s="170">
        <f t="shared" si="9"/>
        <v>13112722</v>
      </c>
      <c r="K44" s="170">
        <f t="shared" si="9"/>
        <v>20175504</v>
      </c>
      <c r="L44" s="170">
        <f t="shared" si="9"/>
        <v>19594998</v>
      </c>
      <c r="M44" s="170">
        <f t="shared" si="9"/>
        <v>5690577</v>
      </c>
      <c r="N44" s="170">
        <f t="shared" si="9"/>
        <v>6045702</v>
      </c>
      <c r="O44" s="170">
        <f t="shared" si="9"/>
        <v>4751263.1349999998</v>
      </c>
      <c r="P44" s="170">
        <f t="shared" si="9"/>
        <v>6885264.79</v>
      </c>
      <c r="Q44" s="170">
        <f t="shared" si="9"/>
        <v>93384338.924999997</v>
      </c>
      <c r="R44" s="170">
        <f t="shared" si="9"/>
        <v>2410321</v>
      </c>
      <c r="S44" s="170">
        <f t="shared" si="9"/>
        <v>4319914</v>
      </c>
      <c r="T44" s="170">
        <f t="shared" si="9"/>
        <v>100114573.925</v>
      </c>
    </row>
    <row r="45" spans="2:20" s="39" customFormat="1" thickBot="1" x14ac:dyDescent="0.4">
      <c r="B45" s="115" t="s">
        <v>4</v>
      </c>
      <c r="C45" s="171">
        <f>SUM(C5:C44)/2</f>
        <v>678625504.32999992</v>
      </c>
      <c r="D45" s="171">
        <f t="shared" ref="D45:S45" si="10">SUM(D5:D44)/2</f>
        <v>1464761</v>
      </c>
      <c r="E45" s="171">
        <f t="shared" si="10"/>
        <v>6100996</v>
      </c>
      <c r="F45" s="171">
        <f t="shared" si="10"/>
        <v>9711443</v>
      </c>
      <c r="G45" s="171">
        <f t="shared" si="10"/>
        <v>11495378</v>
      </c>
      <c r="H45" s="171">
        <f t="shared" si="10"/>
        <v>36254505</v>
      </c>
      <c r="I45" s="171">
        <f t="shared" si="10"/>
        <v>15794134</v>
      </c>
      <c r="J45" s="171">
        <f t="shared" si="10"/>
        <v>38867731</v>
      </c>
      <c r="K45" s="171">
        <f t="shared" si="10"/>
        <v>32239877</v>
      </c>
      <c r="L45" s="171">
        <f t="shared" si="10"/>
        <v>46189701</v>
      </c>
      <c r="M45" s="171">
        <f t="shared" si="10"/>
        <v>32835425</v>
      </c>
      <c r="N45" s="171">
        <f t="shared" si="10"/>
        <v>27224730</v>
      </c>
      <c r="O45" s="171">
        <f t="shared" si="10"/>
        <v>24897663.134999998</v>
      </c>
      <c r="P45" s="171">
        <f t="shared" si="10"/>
        <v>17617595.789999999</v>
      </c>
      <c r="Q45" s="171">
        <f t="shared" si="10"/>
        <v>300693939.92500001</v>
      </c>
      <c r="R45" s="171">
        <f t="shared" ref="R45" si="11">SUM(R5:R44)/2</f>
        <v>20754479</v>
      </c>
      <c r="S45" s="171">
        <f t="shared" ref="S45" si="12">SUM(S5:S44)/2</f>
        <v>52163525</v>
      </c>
      <c r="T45" s="171">
        <f t="shared" ref="T45" si="13">SUM(T5:T44)/2</f>
        <v>373611943.92499995</v>
      </c>
    </row>
  </sheetData>
  <printOptions horizontalCentered="1"/>
  <pageMargins left="0.7" right="0.7" top="0.75" bottom="0.75" header="0.3" footer="0.3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31AE-B65C-491B-B1E9-2323899A0AA7}">
  <sheetPr>
    <tabColor rgb="FFFF0000"/>
  </sheetPr>
  <dimension ref="A1"/>
  <sheetViews>
    <sheetView workbookViewId="0">
      <selection sqref="A1:B32"/>
    </sheetView>
  </sheetViews>
  <sheetFormatPr defaultRowHeight="14.25" x14ac:dyDescent="0.4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1DBFB-16B9-4845-800B-3F0EA6EB44A0}">
  <sheetPr>
    <tabColor rgb="FFFF0000"/>
  </sheetPr>
  <dimension ref="A1:C1"/>
  <sheetViews>
    <sheetView workbookViewId="0"/>
  </sheetViews>
  <sheetFormatPr defaultRowHeight="14.25" x14ac:dyDescent="0.45"/>
  <sheetData>
    <row r="1" spans="1:3" ht="409.5" x14ac:dyDescent="0.45">
      <c r="A1" t="s">
        <v>147</v>
      </c>
      <c r="B1" t="s">
        <v>148</v>
      </c>
      <c r="C1" s="37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809-B8EF-467F-9133-A048F7906B3D}">
  <sheetPr>
    <pageSetUpPr fitToPage="1"/>
  </sheetPr>
  <dimension ref="B1:S33"/>
  <sheetViews>
    <sheetView zoomScale="98" zoomScaleNormal="98" zoomScaleSheetLayoutView="119" workbookViewId="0">
      <selection activeCell="J13" sqref="J13"/>
    </sheetView>
  </sheetViews>
  <sheetFormatPr defaultColWidth="9.1328125" defaultRowHeight="13.9" x14ac:dyDescent="0.4"/>
  <cols>
    <col min="1" max="1" width="9.1328125" style="2"/>
    <col min="2" max="2" width="14.796875" style="2" bestFit="1" customWidth="1"/>
    <col min="3" max="3" width="9" style="2" bestFit="1" customWidth="1"/>
    <col min="4" max="4" width="7.86328125" style="2" bestFit="1" customWidth="1"/>
    <col min="5" max="5" width="9" style="2" bestFit="1" customWidth="1"/>
    <col min="6" max="6" width="7.86328125" style="2" bestFit="1" customWidth="1"/>
    <col min="7" max="7" width="9" style="2" bestFit="1" customWidth="1"/>
    <col min="8" max="8" width="7.86328125" style="4" bestFit="1" customWidth="1"/>
    <col min="9" max="9" width="9" style="2" bestFit="1" customWidth="1"/>
    <col min="10" max="10" width="4.73046875" style="4" bestFit="1" customWidth="1"/>
    <col min="11" max="11" width="9" style="4" bestFit="1" customWidth="1"/>
    <col min="12" max="12" width="4.73046875" style="4" bestFit="1" customWidth="1"/>
    <col min="13" max="13" width="9" style="4" bestFit="1" customWidth="1"/>
    <col min="14" max="14" width="4.73046875" style="4" bestFit="1" customWidth="1"/>
    <col min="15" max="16" width="9" style="4" bestFit="1" customWidth="1"/>
    <col min="17" max="17" width="12" style="3" customWidth="1"/>
    <col min="18" max="18" width="9.1328125" style="2"/>
    <col min="19" max="19" width="13.3984375" style="2" customWidth="1"/>
    <col min="20" max="16384" width="9.1328125" style="2"/>
  </cols>
  <sheetData>
    <row r="1" spans="2:19" ht="13.5" x14ac:dyDescent="0.35">
      <c r="B1" s="109" t="s">
        <v>168</v>
      </c>
      <c r="C1" s="109" t="s">
        <v>169</v>
      </c>
      <c r="D1" s="54"/>
      <c r="E1" s="54"/>
      <c r="F1" s="54"/>
      <c r="G1" s="54"/>
      <c r="H1" s="55"/>
      <c r="I1" s="54"/>
      <c r="J1" s="55"/>
      <c r="K1" s="55"/>
      <c r="L1" s="55"/>
      <c r="M1" s="55"/>
      <c r="N1" s="55"/>
      <c r="O1" s="55"/>
      <c r="P1" s="55"/>
      <c r="Q1" s="109"/>
    </row>
    <row r="2" spans="2:19" ht="13.5" x14ac:dyDescent="0.35">
      <c r="B2" s="104" t="s">
        <v>127</v>
      </c>
      <c r="C2" s="105">
        <v>2018</v>
      </c>
      <c r="D2" s="105">
        <v>2019</v>
      </c>
      <c r="E2" s="105">
        <v>2018</v>
      </c>
      <c r="F2" s="105">
        <v>2019</v>
      </c>
      <c r="G2" s="105">
        <v>2018</v>
      </c>
      <c r="H2" s="105">
        <v>2019</v>
      </c>
      <c r="I2" s="105">
        <v>2018</v>
      </c>
      <c r="J2" s="105">
        <v>2019</v>
      </c>
      <c r="K2" s="105">
        <v>2018</v>
      </c>
      <c r="L2" s="105">
        <v>2019</v>
      </c>
      <c r="M2" s="105">
        <v>2018</v>
      </c>
      <c r="N2" s="105">
        <v>2019</v>
      </c>
      <c r="O2" s="105">
        <v>2018</v>
      </c>
      <c r="P2" s="105">
        <v>2019</v>
      </c>
      <c r="Q2" s="106" t="s">
        <v>61</v>
      </c>
    </row>
    <row r="3" spans="2:19" thickBot="1" x14ac:dyDescent="0.4">
      <c r="B3" s="107"/>
      <c r="C3" s="161" t="s">
        <v>46</v>
      </c>
      <c r="D3" s="161"/>
      <c r="E3" s="162" t="s">
        <v>121</v>
      </c>
      <c r="F3" s="162"/>
      <c r="G3" s="162" t="s">
        <v>125</v>
      </c>
      <c r="H3" s="162"/>
      <c r="I3" s="162" t="s">
        <v>124</v>
      </c>
      <c r="J3" s="162"/>
      <c r="K3" s="162" t="s">
        <v>53</v>
      </c>
      <c r="L3" s="162"/>
      <c r="M3" s="162" t="s">
        <v>126</v>
      </c>
      <c r="N3" s="162"/>
      <c r="O3" s="161" t="s">
        <v>56</v>
      </c>
      <c r="P3" s="161"/>
      <c r="Q3" s="108" t="s">
        <v>128</v>
      </c>
    </row>
    <row r="4" spans="2:19" s="32" customFormat="1" ht="18" customHeight="1" x14ac:dyDescent="0.35">
      <c r="B4" s="94" t="s">
        <v>95</v>
      </c>
      <c r="C4" s="76">
        <f>11500*1.1</f>
        <v>12650.000000000002</v>
      </c>
      <c r="D4" s="76">
        <f>8250*1.1</f>
        <v>9075</v>
      </c>
      <c r="E4" s="77">
        <v>0</v>
      </c>
      <c r="F4" s="76">
        <v>0</v>
      </c>
      <c r="G4" s="76">
        <v>5923.71</v>
      </c>
      <c r="H4" s="76">
        <f>1200+710.53</f>
        <v>1910.53</v>
      </c>
      <c r="I4" s="77">
        <v>17515</v>
      </c>
      <c r="J4" s="76">
        <v>0</v>
      </c>
      <c r="K4" s="78">
        <v>21729</v>
      </c>
      <c r="L4" s="76">
        <v>0</v>
      </c>
      <c r="M4" s="79">
        <v>17715.259999999998</v>
      </c>
      <c r="N4" s="80">
        <v>0</v>
      </c>
      <c r="O4" s="81" t="s">
        <v>129</v>
      </c>
      <c r="P4" s="81">
        <v>3886.13</v>
      </c>
      <c r="Q4" s="95">
        <f>SUM(C4:P4)</f>
        <v>90404.62999999999</v>
      </c>
    </row>
    <row r="5" spans="2:19" s="32" customFormat="1" ht="18" customHeight="1" x14ac:dyDescent="0.35">
      <c r="B5" s="96" t="s">
        <v>97</v>
      </c>
      <c r="C5" s="82">
        <f>9900*1.1</f>
        <v>10890</v>
      </c>
      <c r="D5" s="82">
        <f>10850*1.1</f>
        <v>11935.000000000002</v>
      </c>
      <c r="E5" s="82">
        <v>12005</v>
      </c>
      <c r="F5" s="82">
        <v>0</v>
      </c>
      <c r="G5" s="82">
        <v>5923.71</v>
      </c>
      <c r="H5" s="82">
        <f t="shared" ref="H5:H23" si="0">1200+710.53</f>
        <v>1910.53</v>
      </c>
      <c r="I5" s="83">
        <v>17515</v>
      </c>
      <c r="J5" s="82">
        <v>0</v>
      </c>
      <c r="K5" s="84">
        <v>21729</v>
      </c>
      <c r="L5" s="82">
        <v>0</v>
      </c>
      <c r="M5" s="85">
        <v>17715.259999999998</v>
      </c>
      <c r="N5" s="86">
        <v>0</v>
      </c>
      <c r="O5" s="87">
        <f>(42094+42094)*1.12</f>
        <v>94290.560000000012</v>
      </c>
      <c r="P5" s="87">
        <v>56479</v>
      </c>
      <c r="Q5" s="97">
        <f t="shared" ref="Q5:Q23" si="1">SUM(C5:P5)</f>
        <v>250393.06</v>
      </c>
    </row>
    <row r="6" spans="2:19" s="32" customFormat="1" ht="18" customHeight="1" x14ac:dyDescent="0.35">
      <c r="B6" s="96" t="s">
        <v>98</v>
      </c>
      <c r="C6" s="82">
        <f>22780*1.1</f>
        <v>25058.000000000004</v>
      </c>
      <c r="D6" s="82"/>
      <c r="E6" s="82">
        <f>17987.66-2000</f>
        <v>15987.66</v>
      </c>
      <c r="F6" s="82">
        <v>2000</v>
      </c>
      <c r="G6" s="82">
        <v>5923.71</v>
      </c>
      <c r="H6" s="82">
        <f t="shared" si="0"/>
        <v>1910.53</v>
      </c>
      <c r="I6" s="83">
        <v>17515</v>
      </c>
      <c r="J6" s="82">
        <v>0</v>
      </c>
      <c r="K6" s="84">
        <v>21729</v>
      </c>
      <c r="L6" s="82">
        <v>0</v>
      </c>
      <c r="M6" s="85">
        <v>17715.259999999998</v>
      </c>
      <c r="N6" s="86">
        <v>0</v>
      </c>
      <c r="O6" s="87">
        <f>11743.58+4899.42+(42094*1.12)</f>
        <v>63788.280000000006</v>
      </c>
      <c r="P6" s="87">
        <f>23849*1.12</f>
        <v>26710.880000000001</v>
      </c>
      <c r="Q6" s="97">
        <f t="shared" si="1"/>
        <v>198338.32</v>
      </c>
    </row>
    <row r="7" spans="2:19" s="32" customFormat="1" ht="18" customHeight="1" x14ac:dyDescent="0.35">
      <c r="B7" s="96" t="s">
        <v>99</v>
      </c>
      <c r="C7" s="83">
        <f>31495*1.1</f>
        <v>34644.5</v>
      </c>
      <c r="D7" s="82">
        <f>4900*1.1</f>
        <v>5390</v>
      </c>
      <c r="E7" s="82">
        <v>18525.91</v>
      </c>
      <c r="F7" s="82">
        <v>0</v>
      </c>
      <c r="G7" s="82">
        <v>5923.71</v>
      </c>
      <c r="H7" s="82">
        <f t="shared" si="0"/>
        <v>1910.53</v>
      </c>
      <c r="I7" s="83">
        <v>17515</v>
      </c>
      <c r="J7" s="82">
        <v>0</v>
      </c>
      <c r="K7" s="85">
        <v>69681</v>
      </c>
      <c r="L7" s="82">
        <v>0</v>
      </c>
      <c r="M7" s="85">
        <v>17715.259999999998</v>
      </c>
      <c r="N7" s="86">
        <v>0</v>
      </c>
      <c r="O7" s="87">
        <v>0</v>
      </c>
      <c r="P7" s="87">
        <v>0</v>
      </c>
      <c r="Q7" s="97">
        <f t="shared" si="1"/>
        <v>171305.91000000003</v>
      </c>
    </row>
    <row r="8" spans="2:19" s="32" customFormat="1" ht="18" customHeight="1" x14ac:dyDescent="0.35">
      <c r="B8" s="96" t="s">
        <v>100</v>
      </c>
      <c r="C8" s="82">
        <v>0</v>
      </c>
      <c r="D8" s="82">
        <v>0</v>
      </c>
      <c r="E8" s="82">
        <v>0</v>
      </c>
      <c r="F8" s="82">
        <v>2000</v>
      </c>
      <c r="G8" s="82">
        <v>5923.71</v>
      </c>
      <c r="H8" s="82">
        <f t="shared" si="0"/>
        <v>1910.53</v>
      </c>
      <c r="I8" s="83">
        <v>17515</v>
      </c>
      <c r="J8" s="82">
        <v>0</v>
      </c>
      <c r="K8" s="84">
        <v>21729</v>
      </c>
      <c r="L8" s="82">
        <v>0</v>
      </c>
      <c r="M8" s="85">
        <v>17715.259999999998</v>
      </c>
      <c r="N8" s="86">
        <v>0</v>
      </c>
      <c r="O8" s="87">
        <v>0</v>
      </c>
      <c r="P8" s="87">
        <v>0</v>
      </c>
      <c r="Q8" s="97">
        <f t="shared" si="1"/>
        <v>66793.5</v>
      </c>
    </row>
    <row r="9" spans="2:19" s="32" customFormat="1" ht="18" customHeight="1" x14ac:dyDescent="0.35">
      <c r="B9" s="96" t="s">
        <v>101</v>
      </c>
      <c r="C9" s="82">
        <v>0</v>
      </c>
      <c r="D9" s="82">
        <v>0</v>
      </c>
      <c r="E9" s="82">
        <v>0</v>
      </c>
      <c r="F9" s="82">
        <v>5643.32</v>
      </c>
      <c r="G9" s="82">
        <v>5923.71</v>
      </c>
      <c r="H9" s="82">
        <f t="shared" si="0"/>
        <v>1910.53</v>
      </c>
      <c r="I9" s="83">
        <v>17515</v>
      </c>
      <c r="J9" s="82">
        <v>0</v>
      </c>
      <c r="K9" s="84">
        <v>21729</v>
      </c>
      <c r="L9" s="82">
        <v>0</v>
      </c>
      <c r="M9" s="85">
        <v>17715.259999999998</v>
      </c>
      <c r="N9" s="86">
        <v>0</v>
      </c>
      <c r="O9" s="87">
        <f>42094*1.12</f>
        <v>47145.280000000006</v>
      </c>
      <c r="P9" s="87">
        <f>23849*1.12</f>
        <v>26710.880000000001</v>
      </c>
      <c r="Q9" s="97">
        <f t="shared" si="1"/>
        <v>144292.98000000001</v>
      </c>
    </row>
    <row r="10" spans="2:19" s="32" customFormat="1" ht="18" customHeight="1" x14ac:dyDescent="0.35">
      <c r="B10" s="96" t="s">
        <v>102</v>
      </c>
      <c r="C10" s="82">
        <v>0</v>
      </c>
      <c r="D10" s="82">
        <v>0</v>
      </c>
      <c r="E10" s="82">
        <f>7976.5-2000</f>
        <v>5976.5</v>
      </c>
      <c r="F10" s="82">
        <v>2000</v>
      </c>
      <c r="G10" s="82">
        <v>5923.71</v>
      </c>
      <c r="H10" s="82">
        <f t="shared" si="0"/>
        <v>1910.53</v>
      </c>
      <c r="I10" s="83">
        <v>17515</v>
      </c>
      <c r="J10" s="82">
        <v>0</v>
      </c>
      <c r="K10" s="84">
        <v>21729</v>
      </c>
      <c r="L10" s="82">
        <v>0</v>
      </c>
      <c r="M10" s="85">
        <v>17715.259999999998</v>
      </c>
      <c r="N10" s="86">
        <v>0</v>
      </c>
      <c r="O10" s="87">
        <f>42094*1.12</f>
        <v>47145.280000000006</v>
      </c>
      <c r="P10" s="87">
        <f>23849*1.12</f>
        <v>26710.880000000001</v>
      </c>
      <c r="Q10" s="97">
        <f t="shared" si="1"/>
        <v>146626.16</v>
      </c>
      <c r="S10" s="36"/>
    </row>
    <row r="11" spans="2:19" s="32" customFormat="1" ht="18" customHeight="1" x14ac:dyDescent="0.35">
      <c r="B11" s="96" t="s">
        <v>103</v>
      </c>
      <c r="C11" s="82">
        <v>0</v>
      </c>
      <c r="D11" s="82">
        <v>0</v>
      </c>
      <c r="E11" s="82">
        <v>0</v>
      </c>
      <c r="F11" s="82">
        <v>0</v>
      </c>
      <c r="G11" s="82">
        <v>5923.71</v>
      </c>
      <c r="H11" s="82">
        <f t="shared" si="0"/>
        <v>1910.53</v>
      </c>
      <c r="I11" s="83">
        <v>17515</v>
      </c>
      <c r="J11" s="82">
        <v>0</v>
      </c>
      <c r="K11" s="84">
        <v>21729</v>
      </c>
      <c r="L11" s="82">
        <v>0</v>
      </c>
      <c r="M11" s="85">
        <v>17715.259999999998</v>
      </c>
      <c r="N11" s="86">
        <v>0</v>
      </c>
      <c r="O11" s="87">
        <f>42094*1.12</f>
        <v>47145.280000000006</v>
      </c>
      <c r="P11" s="87">
        <f>36740+10000</f>
        <v>46740</v>
      </c>
      <c r="Q11" s="97">
        <f t="shared" si="1"/>
        <v>158678.78</v>
      </c>
    </row>
    <row r="12" spans="2:19" s="32" customFormat="1" ht="18" customHeight="1" x14ac:dyDescent="0.35">
      <c r="B12" s="96" t="s">
        <v>104</v>
      </c>
      <c r="C12" s="82">
        <v>0</v>
      </c>
      <c r="D12" s="82">
        <v>0</v>
      </c>
      <c r="E12" s="82">
        <v>0</v>
      </c>
      <c r="F12" s="82">
        <v>0</v>
      </c>
      <c r="G12" s="82">
        <v>5923.71</v>
      </c>
      <c r="H12" s="82">
        <f t="shared" si="0"/>
        <v>1910.53</v>
      </c>
      <c r="I12" s="83">
        <v>17515</v>
      </c>
      <c r="J12" s="82">
        <v>0</v>
      </c>
      <c r="K12" s="84">
        <v>21729</v>
      </c>
      <c r="L12" s="82">
        <v>0</v>
      </c>
      <c r="M12" s="85">
        <v>17715.259999999998</v>
      </c>
      <c r="N12" s="86">
        <v>0</v>
      </c>
      <c r="O12" s="87">
        <v>0</v>
      </c>
      <c r="P12" s="87">
        <v>0</v>
      </c>
      <c r="Q12" s="97">
        <f t="shared" si="1"/>
        <v>64793.5</v>
      </c>
    </row>
    <row r="13" spans="2:19" s="32" customFormat="1" ht="18" customHeight="1" x14ac:dyDescent="0.35">
      <c r="B13" s="96" t="s">
        <v>105</v>
      </c>
      <c r="C13" s="82">
        <v>0</v>
      </c>
      <c r="D13" s="82">
        <f>10300*1.1</f>
        <v>11330.000000000002</v>
      </c>
      <c r="E13" s="82">
        <v>17321.18</v>
      </c>
      <c r="F13" s="82">
        <v>0</v>
      </c>
      <c r="G13" s="82">
        <v>5923.71</v>
      </c>
      <c r="H13" s="82">
        <f t="shared" si="0"/>
        <v>1910.53</v>
      </c>
      <c r="I13" s="83">
        <v>17515</v>
      </c>
      <c r="J13" s="82">
        <v>0</v>
      </c>
      <c r="K13" s="84">
        <v>21729</v>
      </c>
      <c r="L13" s="82">
        <v>0</v>
      </c>
      <c r="M13" s="85">
        <v>17715.259999999998</v>
      </c>
      <c r="N13" s="86">
        <v>0</v>
      </c>
      <c r="O13" s="87">
        <f>(42094+12000)*1.12</f>
        <v>60585.280000000006</v>
      </c>
      <c r="P13" s="87">
        <f>15000+23849</f>
        <v>38849</v>
      </c>
      <c r="Q13" s="97">
        <f t="shared" si="1"/>
        <v>192878.96</v>
      </c>
    </row>
    <row r="14" spans="2:19" s="32" customFormat="1" ht="18" customHeight="1" x14ac:dyDescent="0.35">
      <c r="B14" s="96" t="s">
        <v>106</v>
      </c>
      <c r="C14" s="82">
        <f>25710*1.1</f>
        <v>28281.000000000004</v>
      </c>
      <c r="D14" s="82">
        <v>0</v>
      </c>
      <c r="E14" s="82">
        <f>9171-2000</f>
        <v>7171</v>
      </c>
      <c r="F14" s="82">
        <v>2000</v>
      </c>
      <c r="G14" s="82">
        <v>5923.71</v>
      </c>
      <c r="H14" s="82">
        <f t="shared" si="0"/>
        <v>1910.53</v>
      </c>
      <c r="I14" s="83">
        <v>17515</v>
      </c>
      <c r="J14" s="82">
        <v>0</v>
      </c>
      <c r="K14" s="84">
        <v>21729</v>
      </c>
      <c r="L14" s="82">
        <v>0</v>
      </c>
      <c r="M14" s="85">
        <v>17715.259999999998</v>
      </c>
      <c r="N14" s="86">
        <v>0</v>
      </c>
      <c r="O14" s="87">
        <v>0</v>
      </c>
      <c r="P14" s="87">
        <v>0</v>
      </c>
      <c r="Q14" s="97">
        <f t="shared" si="1"/>
        <v>102245.49999999999</v>
      </c>
    </row>
    <row r="15" spans="2:19" s="32" customFormat="1" ht="18" customHeight="1" x14ac:dyDescent="0.35">
      <c r="B15" s="96" t="s">
        <v>107</v>
      </c>
      <c r="C15" s="82">
        <v>0</v>
      </c>
      <c r="D15" s="82">
        <v>0</v>
      </c>
      <c r="E15" s="82">
        <v>19858.439999999999</v>
      </c>
      <c r="F15" s="82">
        <v>0</v>
      </c>
      <c r="G15" s="82">
        <v>5923.71</v>
      </c>
      <c r="H15" s="82">
        <f t="shared" si="0"/>
        <v>1910.53</v>
      </c>
      <c r="I15" s="83">
        <v>17515</v>
      </c>
      <c r="J15" s="82">
        <v>0</v>
      </c>
      <c r="K15" s="84">
        <v>21729</v>
      </c>
      <c r="L15" s="82">
        <v>0</v>
      </c>
      <c r="M15" s="85">
        <v>17715.259999999998</v>
      </c>
      <c r="N15" s="86">
        <v>0</v>
      </c>
      <c r="O15" s="87">
        <f>42094*1.12</f>
        <v>47145.280000000006</v>
      </c>
      <c r="P15" s="87">
        <v>5000</v>
      </c>
      <c r="Q15" s="97">
        <f t="shared" si="1"/>
        <v>136797.22</v>
      </c>
    </row>
    <row r="16" spans="2:19" s="32" customFormat="1" ht="18" customHeight="1" x14ac:dyDescent="0.35">
      <c r="B16" s="96" t="s">
        <v>108</v>
      </c>
      <c r="C16" s="82">
        <v>0</v>
      </c>
      <c r="D16" s="82">
        <v>0</v>
      </c>
      <c r="E16" s="82">
        <v>0</v>
      </c>
      <c r="F16" s="82">
        <v>0</v>
      </c>
      <c r="G16" s="82">
        <v>5923.71</v>
      </c>
      <c r="H16" s="82">
        <f t="shared" si="0"/>
        <v>1910.53</v>
      </c>
      <c r="I16" s="83">
        <v>17515</v>
      </c>
      <c r="J16" s="82">
        <v>0</v>
      </c>
      <c r="K16" s="85">
        <v>24166</v>
      </c>
      <c r="L16" s="82">
        <v>0</v>
      </c>
      <c r="M16" s="85">
        <v>17715.259999999998</v>
      </c>
      <c r="N16" s="86">
        <v>0</v>
      </c>
      <c r="O16" s="87">
        <f>12500*1.12</f>
        <v>14000.000000000002</v>
      </c>
      <c r="P16" s="87">
        <v>0</v>
      </c>
      <c r="Q16" s="97">
        <f t="shared" si="1"/>
        <v>81230.5</v>
      </c>
    </row>
    <row r="17" spans="2:17" s="32" customFormat="1" ht="18" customHeight="1" x14ac:dyDescent="0.35">
      <c r="B17" s="96" t="s">
        <v>109</v>
      </c>
      <c r="C17" s="82">
        <v>0</v>
      </c>
      <c r="D17" s="82">
        <v>0</v>
      </c>
      <c r="E17" s="82">
        <f>14894.62-2000</f>
        <v>12894.62</v>
      </c>
      <c r="F17" s="82">
        <v>2000</v>
      </c>
      <c r="G17" s="82">
        <v>5923.71</v>
      </c>
      <c r="H17" s="82">
        <f t="shared" si="0"/>
        <v>1910.53</v>
      </c>
      <c r="I17" s="83">
        <v>17515</v>
      </c>
      <c r="J17" s="82">
        <v>0</v>
      </c>
      <c r="K17" s="84">
        <v>21729</v>
      </c>
      <c r="L17" s="82">
        <v>0</v>
      </c>
      <c r="M17" s="85">
        <v>17715.259999999998</v>
      </c>
      <c r="N17" s="86">
        <v>0</v>
      </c>
      <c r="O17" s="87">
        <f>10365+(42094*1.12)</f>
        <v>57510.280000000006</v>
      </c>
      <c r="P17" s="87">
        <f>23849*1.12</f>
        <v>26710.880000000001</v>
      </c>
      <c r="Q17" s="97">
        <f t="shared" si="1"/>
        <v>163909.28</v>
      </c>
    </row>
    <row r="18" spans="2:17" s="32" customFormat="1" ht="18" customHeight="1" x14ac:dyDescent="0.35">
      <c r="B18" s="96" t="s">
        <v>110</v>
      </c>
      <c r="C18" s="82">
        <f>49900*1.1</f>
        <v>54890.000000000007</v>
      </c>
      <c r="D18" s="82">
        <f>9700*1.1</f>
        <v>10670</v>
      </c>
      <c r="E18" s="82">
        <f>6510-2000</f>
        <v>4510</v>
      </c>
      <c r="F18" s="82">
        <v>2000</v>
      </c>
      <c r="G18" s="82">
        <v>5923.71</v>
      </c>
      <c r="H18" s="82">
        <f>1200+4500</f>
        <v>5700</v>
      </c>
      <c r="I18" s="83">
        <v>17515</v>
      </c>
      <c r="J18" s="82">
        <v>0</v>
      </c>
      <c r="K18" s="84">
        <v>21729</v>
      </c>
      <c r="L18" s="82">
        <v>0</v>
      </c>
      <c r="M18" s="85">
        <v>17715.259999999998</v>
      </c>
      <c r="N18" s="86">
        <v>0</v>
      </c>
      <c r="O18" s="87">
        <v>0</v>
      </c>
      <c r="P18" s="87">
        <v>0</v>
      </c>
      <c r="Q18" s="97">
        <f t="shared" si="1"/>
        <v>140652.97</v>
      </c>
    </row>
    <row r="19" spans="2:17" s="32" customFormat="1" ht="18" customHeight="1" x14ac:dyDescent="0.35">
      <c r="B19" s="96" t="s">
        <v>130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3">
        <v>0</v>
      </c>
      <c r="J19" s="82">
        <v>0</v>
      </c>
      <c r="K19" s="84">
        <v>0</v>
      </c>
      <c r="L19" s="82">
        <v>0</v>
      </c>
      <c r="M19" s="85">
        <v>0</v>
      </c>
      <c r="N19" s="86">
        <v>0</v>
      </c>
      <c r="O19" s="87">
        <f>11000*1.12</f>
        <v>12320.000000000002</v>
      </c>
      <c r="P19" s="87">
        <f>23849*1.12</f>
        <v>26710.880000000001</v>
      </c>
      <c r="Q19" s="97">
        <f t="shared" si="1"/>
        <v>39030.880000000005</v>
      </c>
    </row>
    <row r="20" spans="2:17" s="32" customFormat="1" ht="18" customHeight="1" x14ac:dyDescent="0.35">
      <c r="B20" s="96" t="s">
        <v>111</v>
      </c>
      <c r="C20" s="82">
        <f>30750*1.1</f>
        <v>33825</v>
      </c>
      <c r="D20" s="82">
        <f>20600*1.1</f>
        <v>22660.000000000004</v>
      </c>
      <c r="E20" s="82">
        <f>9983.03-2000</f>
        <v>7983.0300000000007</v>
      </c>
      <c r="F20" s="82">
        <v>2000</v>
      </c>
      <c r="G20" s="82">
        <v>5923.71</v>
      </c>
      <c r="H20" s="82">
        <f t="shared" si="0"/>
        <v>1910.53</v>
      </c>
      <c r="I20" s="83">
        <v>17515</v>
      </c>
      <c r="J20" s="82">
        <v>0</v>
      </c>
      <c r="K20" s="84">
        <v>21729</v>
      </c>
      <c r="L20" s="82">
        <v>0</v>
      </c>
      <c r="M20" s="85">
        <v>17715.259999999998</v>
      </c>
      <c r="N20" s="86">
        <v>0</v>
      </c>
      <c r="O20" s="88">
        <v>0</v>
      </c>
      <c r="P20" s="88">
        <v>0</v>
      </c>
      <c r="Q20" s="97">
        <f t="shared" si="1"/>
        <v>131261.53</v>
      </c>
    </row>
    <row r="21" spans="2:17" s="32" customFormat="1" ht="18" customHeight="1" x14ac:dyDescent="0.35">
      <c r="B21" s="96" t="s">
        <v>112</v>
      </c>
      <c r="C21" s="82">
        <v>0</v>
      </c>
      <c r="D21" s="82">
        <f>14050*1.1</f>
        <v>15455.000000000002</v>
      </c>
      <c r="E21" s="82">
        <v>0</v>
      </c>
      <c r="F21" s="82">
        <v>0</v>
      </c>
      <c r="G21" s="82">
        <v>5923.71</v>
      </c>
      <c r="H21" s="82">
        <f t="shared" si="0"/>
        <v>1910.53</v>
      </c>
      <c r="I21" s="83">
        <v>17515</v>
      </c>
      <c r="J21" s="82">
        <v>0</v>
      </c>
      <c r="K21" s="85">
        <v>30563</v>
      </c>
      <c r="L21" s="82">
        <v>0</v>
      </c>
      <c r="M21" s="85">
        <v>17715.259999999998</v>
      </c>
      <c r="N21" s="86">
        <v>0</v>
      </c>
      <c r="O21" s="88">
        <v>0</v>
      </c>
      <c r="P21" s="88">
        <v>0</v>
      </c>
      <c r="Q21" s="97">
        <f t="shared" si="1"/>
        <v>89082.5</v>
      </c>
    </row>
    <row r="22" spans="2:17" s="32" customFormat="1" ht="18" customHeight="1" x14ac:dyDescent="0.35">
      <c r="B22" s="96" t="s">
        <v>113</v>
      </c>
      <c r="C22" s="82">
        <v>0</v>
      </c>
      <c r="D22" s="82">
        <v>0</v>
      </c>
      <c r="E22" s="82">
        <f>4515.908-2000</f>
        <v>2515.9080000000004</v>
      </c>
      <c r="F22" s="82">
        <v>2000</v>
      </c>
      <c r="G22" s="82">
        <v>5923.71</v>
      </c>
      <c r="H22" s="82">
        <f t="shared" si="0"/>
        <v>1910.53</v>
      </c>
      <c r="I22" s="83">
        <v>17515</v>
      </c>
      <c r="J22" s="82">
        <v>0</v>
      </c>
      <c r="K22" s="85">
        <v>33130</v>
      </c>
      <c r="L22" s="82">
        <v>0</v>
      </c>
      <c r="M22" s="85">
        <v>17715.259999999998</v>
      </c>
      <c r="N22" s="86">
        <v>0</v>
      </c>
      <c r="O22" s="87">
        <v>0</v>
      </c>
      <c r="P22" s="87">
        <f>62600+23849</f>
        <v>86449</v>
      </c>
      <c r="Q22" s="97">
        <f t="shared" si="1"/>
        <v>167159.408</v>
      </c>
    </row>
    <row r="23" spans="2:17" s="32" customFormat="1" ht="18" customHeight="1" thickBot="1" x14ac:dyDescent="0.4">
      <c r="B23" s="98" t="s">
        <v>114</v>
      </c>
      <c r="C23" s="89">
        <f>22700*1.1</f>
        <v>24970.000000000004</v>
      </c>
      <c r="D23" s="89">
        <v>0</v>
      </c>
      <c r="E23" s="89">
        <f>11009.14-2000</f>
        <v>9009.14</v>
      </c>
      <c r="F23" s="89">
        <v>2000</v>
      </c>
      <c r="G23" s="89">
        <v>5923.71</v>
      </c>
      <c r="H23" s="89">
        <f t="shared" si="0"/>
        <v>1910.53</v>
      </c>
      <c r="I23" s="90">
        <v>17515</v>
      </c>
      <c r="J23" s="89">
        <v>0</v>
      </c>
      <c r="K23" s="91">
        <v>32209</v>
      </c>
      <c r="L23" s="89">
        <v>0</v>
      </c>
      <c r="M23" s="91">
        <v>17715.259999999998</v>
      </c>
      <c r="N23" s="92">
        <v>0</v>
      </c>
      <c r="O23" s="93">
        <v>0</v>
      </c>
      <c r="P23" s="93">
        <v>0</v>
      </c>
      <c r="Q23" s="99">
        <f t="shared" si="1"/>
        <v>111252.64</v>
      </c>
    </row>
    <row r="24" spans="2:17" s="33" customFormat="1" ht="18" customHeight="1" thickBot="1" x14ac:dyDescent="0.45">
      <c r="B24" s="100" t="s">
        <v>4</v>
      </c>
      <c r="C24" s="101">
        <f>SUM(C4:C23)</f>
        <v>225208.5</v>
      </c>
      <c r="D24" s="101">
        <f t="shared" ref="D24:F24" si="2">SUM(D4:D23)</f>
        <v>86515</v>
      </c>
      <c r="E24" s="101">
        <f t="shared" si="2"/>
        <v>133758.38799999998</v>
      </c>
      <c r="F24" s="101">
        <f t="shared" si="2"/>
        <v>23643.32</v>
      </c>
      <c r="G24" s="101">
        <f>SUM(G4:G23)</f>
        <v>112550.49000000005</v>
      </c>
      <c r="H24" s="101">
        <f>SUM(H4:H23)</f>
        <v>40089.539999999994</v>
      </c>
      <c r="I24" s="101">
        <f>SUM(I4:I23)</f>
        <v>332785</v>
      </c>
      <c r="J24" s="101">
        <f t="shared" ref="J24" si="3">SUM(J4:J23)</f>
        <v>0</v>
      </c>
      <c r="K24" s="101">
        <f>SUM(K4:K23)</f>
        <v>493955</v>
      </c>
      <c r="L24" s="101">
        <f>SUM(L4:L23)</f>
        <v>0</v>
      </c>
      <c r="M24" s="101">
        <f>SUM(M4:M23)</f>
        <v>336589.94000000006</v>
      </c>
      <c r="N24" s="101">
        <f t="shared" ref="N24:Q24" si="4">SUM(N4:N23)</f>
        <v>0</v>
      </c>
      <c r="O24" s="102">
        <f>SUM(O4:O23)</f>
        <v>491075.52000000014</v>
      </c>
      <c r="P24" s="102">
        <f>SUM(P4:P23)</f>
        <v>370957.52999999997</v>
      </c>
      <c r="Q24" s="103">
        <f t="shared" si="4"/>
        <v>2647128.2279999997</v>
      </c>
    </row>
    <row r="25" spans="2:17" ht="18" customHeight="1" x14ac:dyDescent="0.35">
      <c r="C25" s="5"/>
      <c r="D25" s="5"/>
      <c r="E25" s="5"/>
      <c r="F25" s="5"/>
      <c r="G25" s="5"/>
      <c r="H25" s="6"/>
      <c r="I25" s="5"/>
      <c r="J25" s="6"/>
      <c r="K25" s="6"/>
      <c r="L25" s="6"/>
      <c r="M25" s="2"/>
      <c r="N25" s="2"/>
      <c r="O25" s="2"/>
      <c r="P25" s="2"/>
      <c r="Q25" s="2"/>
    </row>
    <row r="26" spans="2:17" x14ac:dyDescent="0.4">
      <c r="C26" s="5"/>
      <c r="D26" s="5"/>
      <c r="E26" s="5"/>
      <c r="F26" s="5"/>
      <c r="G26" s="5"/>
      <c r="H26" s="6"/>
      <c r="I26" s="5"/>
      <c r="J26" s="6"/>
      <c r="K26" s="6"/>
      <c r="L26" s="6"/>
      <c r="M26" s="6"/>
      <c r="N26" s="6"/>
      <c r="Q26" s="8"/>
    </row>
    <row r="27" spans="2:17" x14ac:dyDescent="0.4">
      <c r="C27" s="5"/>
      <c r="D27" s="5"/>
      <c r="E27" s="5"/>
      <c r="F27" s="5"/>
      <c r="G27" s="5"/>
      <c r="H27" s="6"/>
      <c r="I27" s="5"/>
      <c r="J27" s="6"/>
      <c r="K27" s="6"/>
      <c r="L27" s="6"/>
      <c r="M27" s="6"/>
      <c r="N27" s="6"/>
      <c r="O27" s="6"/>
      <c r="P27" s="6"/>
      <c r="Q27" s="8"/>
    </row>
    <row r="28" spans="2:17" x14ac:dyDescent="0.4">
      <c r="C28" s="5"/>
      <c r="D28" s="5"/>
      <c r="E28" s="5"/>
      <c r="F28" s="5"/>
      <c r="G28" s="5"/>
      <c r="H28" s="6"/>
      <c r="I28" s="5"/>
      <c r="J28" s="6"/>
      <c r="K28" s="6"/>
      <c r="L28" s="6"/>
      <c r="M28" s="6"/>
      <c r="N28" s="6"/>
      <c r="O28" s="6"/>
      <c r="P28" s="6"/>
      <c r="Q28" s="8"/>
    </row>
    <row r="29" spans="2:17" x14ac:dyDescent="0.4">
      <c r="H29" s="7"/>
    </row>
    <row r="32" spans="2:17" x14ac:dyDescent="0.4">
      <c r="H32" s="4">
        <v>124398</v>
      </c>
    </row>
    <row r="33" spans="8:8" x14ac:dyDescent="0.4">
      <c r="H33" s="4">
        <f>H32/21</f>
        <v>5923.7142857142853</v>
      </c>
    </row>
  </sheetData>
  <mergeCells count="7">
    <mergeCell ref="O3:P3"/>
    <mergeCell ref="K3:L3"/>
    <mergeCell ref="M3:N3"/>
    <mergeCell ref="C3:D3"/>
    <mergeCell ref="E3:F3"/>
    <mergeCell ref="I3:J3"/>
    <mergeCell ref="G3:H3"/>
  </mergeCells>
  <pageMargins left="0.7" right="0.7" top="0.75" bottom="0.75" header="0.3" footer="0.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FF6ECA69CB44DAAE7F8FB121EBD86" ma:contentTypeVersion="11" ma:contentTypeDescription="Create a new document." ma:contentTypeScope="" ma:versionID="d69b2447a9a7d3d51c043264a4604b45">
  <xsd:schema xmlns:xsd="http://www.w3.org/2001/XMLSchema" xmlns:xs="http://www.w3.org/2001/XMLSchema" xmlns:p="http://schemas.microsoft.com/office/2006/metadata/properties" xmlns:ns3="6e49b178-b109-40ec-ba3a-08c7a1a9acc4" xmlns:ns4="51bb2d29-83b7-4014-bf65-91c65020c084" targetNamespace="http://schemas.microsoft.com/office/2006/metadata/properties" ma:root="true" ma:fieldsID="068e9a233549feb0ad6838c88d251696" ns3:_="" ns4:_="">
    <xsd:import namespace="6e49b178-b109-40ec-ba3a-08c7a1a9acc4"/>
    <xsd:import namespace="51bb2d29-83b7-4014-bf65-91c65020c0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9b178-b109-40ec-ba3a-08c7a1a9ac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b2d29-83b7-4014-bf65-91c65020c08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413C05-0832-41E7-B2CB-786FEA5EBF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654B4A-98B0-4F4E-A96F-0CD60D1A105B}">
  <ds:schemaRefs>
    <ds:schemaRef ds:uri="http://purl.org/dc/terms/"/>
    <ds:schemaRef ds:uri="http://schemas.microsoft.com/office/2006/documentManagement/types"/>
    <ds:schemaRef ds:uri="http://purl.org/dc/dcmitype/"/>
    <ds:schemaRef ds:uri="51bb2d29-83b7-4014-bf65-91c65020c084"/>
    <ds:schemaRef ds:uri="6e49b178-b109-40ec-ba3a-08c7a1a9acc4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1153FD-0066-4631-AFB4-98F3D88E2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49b178-b109-40ec-ba3a-08c7a1a9acc4"/>
    <ds:schemaRef ds:uri="51bb2d29-83b7-4014-bf65-91c65020c0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List of Tables</vt:lpstr>
      <vt:lpstr>Table 1</vt:lpstr>
      <vt:lpstr>Table 2</vt:lpstr>
      <vt:lpstr>Table 3</vt:lpstr>
      <vt:lpstr>Table 4</vt:lpstr>
      <vt:lpstr>Table 5</vt:lpstr>
      <vt:lpstr>tmpscrapsheet</vt:lpstr>
      <vt:lpstr>Tabl 6</vt:lpstr>
      <vt:lpstr>'Tabl 6'!Print_Area</vt:lpstr>
      <vt:lpstr>'Table 1'!Print_Area</vt:lpstr>
      <vt:lpstr>'Table 2'!Print_Area</vt:lpstr>
      <vt:lpstr>'Table 3'!Print_Area</vt:lpstr>
      <vt:lpstr>'Table 4'!Print_Area</vt:lpstr>
      <vt:lpstr>'Table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 Kanyama</dc:creator>
  <cp:lastModifiedBy>Clement Kanyama</cp:lastModifiedBy>
  <cp:lastPrinted>2019-10-19T09:55:04Z</cp:lastPrinted>
  <dcterms:created xsi:type="dcterms:W3CDTF">2019-08-01T07:49:29Z</dcterms:created>
  <dcterms:modified xsi:type="dcterms:W3CDTF">2019-10-19T23:22:13Z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0x010100FE8FF6ECA69CB44DAAE7F8FB121EBD86</vt:lpwstr>
  </property>
</Properties>
</file>