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F:\2019 COMESA Policy Organs Meetings\Sub Committee Meetings\"/>
    </mc:Choice>
  </mc:AlternateContent>
  <xr:revisionPtr revIDLastSave="0" documentId="13_ncr:1_{23441B99-77EC-44A9-9112-B32652EF213E}" xr6:coauthVersionLast="34" xr6:coauthVersionMax="34" xr10:uidLastSave="{00000000-0000-0000-0000-000000000000}"/>
  <bookViews>
    <workbookView xWindow="0" yWindow="0" windowWidth="20496" windowHeight="7452" xr2:uid="{00000000-000D-0000-FFFF-FFFF00000000}"/>
  </bookViews>
  <sheets>
    <sheet name="Performance" sheetId="9" r:id="rId1"/>
    <sheet name="Notes" sheetId="11" r:id="rId2"/>
    <sheet name="Sheet1" sheetId="10" r:id="rId3"/>
  </sheets>
  <externalReferences>
    <externalReference r:id="rId4"/>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1" l="1"/>
  <c r="G18" i="9"/>
  <c r="G28" i="9"/>
  <c r="D27" i="11"/>
  <c r="G24" i="9"/>
  <c r="E24" i="9"/>
  <c r="D34" i="11" l="1"/>
  <c r="F34" i="11" s="1"/>
  <c r="G34" i="11" s="1"/>
  <c r="D33" i="11"/>
  <c r="D32" i="11"/>
  <c r="F32" i="11" s="1"/>
  <c r="G32" i="11" s="1"/>
  <c r="D31" i="11"/>
  <c r="D30" i="11"/>
  <c r="E30" i="11" s="1"/>
  <c r="D29" i="11"/>
  <c r="F29" i="11" s="1"/>
  <c r="G29" i="11" s="1"/>
  <c r="D28" i="11"/>
  <c r="E28" i="11" s="1"/>
  <c r="F27" i="11"/>
  <c r="G27" i="11" s="1"/>
  <c r="F26" i="11"/>
  <c r="G26" i="11" s="1"/>
  <c r="E26" i="11"/>
  <c r="H25" i="11"/>
  <c r="E25" i="11"/>
  <c r="D25" i="11"/>
  <c r="F25" i="11" s="1"/>
  <c r="G25" i="11" s="1"/>
  <c r="D24" i="11"/>
  <c r="E24" i="11" s="1"/>
  <c r="D23" i="11"/>
  <c r="F23" i="11" s="1"/>
  <c r="G23" i="11" s="1"/>
  <c r="D22" i="11"/>
  <c r="E22" i="11" s="1"/>
  <c r="D21" i="11"/>
  <c r="F21" i="11" s="1"/>
  <c r="G21" i="11" s="1"/>
  <c r="D20" i="11"/>
  <c r="E20" i="11" s="1"/>
  <c r="D19" i="11"/>
  <c r="F19" i="11" s="1"/>
  <c r="G19" i="11" s="1"/>
  <c r="F18" i="11"/>
  <c r="G18" i="11" s="1"/>
  <c r="E18" i="11"/>
  <c r="E17" i="11"/>
  <c r="F17" i="11"/>
  <c r="G17" i="11" s="1"/>
  <c r="D16" i="11"/>
  <c r="E16" i="11" s="1"/>
  <c r="D15" i="11"/>
  <c r="F15" i="11" s="1"/>
  <c r="G15" i="11" s="1"/>
  <c r="D14" i="11"/>
  <c r="E14" i="11" s="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D13" i="11"/>
  <c r="D11" i="11"/>
  <c r="E11" i="11" s="1"/>
  <c r="D10" i="11"/>
  <c r="D9" i="11"/>
  <c r="F9" i="11" s="1"/>
  <c r="G9" i="11" s="1"/>
  <c r="D8" i="11"/>
  <c r="D7" i="11"/>
  <c r="F7" i="11" s="1"/>
  <c r="G7" i="11" s="1"/>
  <c r="D6" i="11"/>
  <c r="A6" i="11"/>
  <c r="A7" i="11" s="1"/>
  <c r="A8" i="11" s="1"/>
  <c r="A9" i="11" s="1"/>
  <c r="A10" i="11" s="1"/>
  <c r="A11" i="11" s="1"/>
  <c r="D5" i="11"/>
  <c r="F5" i="11" s="1"/>
  <c r="G5" i="11" s="1"/>
  <c r="F11" i="11" l="1"/>
  <c r="G11" i="11" s="1"/>
  <c r="F14" i="11"/>
  <c r="G14" i="11" s="1"/>
  <c r="E5" i="11"/>
  <c r="H19" i="11"/>
  <c r="E7" i="11"/>
  <c r="H9" i="11"/>
  <c r="F24" i="11"/>
  <c r="G24" i="11" s="1"/>
  <c r="F28" i="11"/>
  <c r="G28" i="11" s="1"/>
  <c r="F30" i="11"/>
  <c r="G30" i="11" s="1"/>
  <c r="E33" i="11"/>
  <c r="E9" i="11"/>
  <c r="F16" i="11"/>
  <c r="G16" i="11" s="1"/>
  <c r="F20" i="11"/>
  <c r="G20" i="11" s="1"/>
  <c r="F22" i="11"/>
  <c r="G22" i="11" s="1"/>
  <c r="F33" i="11"/>
  <c r="G33" i="11" s="1"/>
  <c r="H17" i="11"/>
  <c r="H27" i="11"/>
  <c r="F10" i="11"/>
  <c r="G10" i="11" s="1"/>
  <c r="E10" i="11"/>
  <c r="D35" i="11"/>
  <c r="E35" i="11" s="1"/>
  <c r="F13" i="11"/>
  <c r="E15" i="11"/>
  <c r="E23" i="11"/>
  <c r="H7" i="11"/>
  <c r="F8" i="11"/>
  <c r="E8" i="11"/>
  <c r="E13" i="11"/>
  <c r="H15" i="11"/>
  <c r="E21" i="11"/>
  <c r="H23" i="11"/>
  <c r="E29" i="11"/>
  <c r="D12" i="11"/>
  <c r="F6" i="11"/>
  <c r="E6" i="11"/>
  <c r="E19" i="11"/>
  <c r="H21" i="11"/>
  <c r="E27" i="11"/>
  <c r="H29" i="11"/>
  <c r="E31" i="11"/>
  <c r="H11" i="11"/>
  <c r="H14" i="11"/>
  <c r="H16" i="11"/>
  <c r="H18" i="11"/>
  <c r="H26" i="11"/>
  <c r="H28" i="11"/>
  <c r="H30" i="11"/>
  <c r="F31" i="11"/>
  <c r="G31" i="11" s="1"/>
  <c r="H32" i="11"/>
  <c r="H34" i="11"/>
  <c r="H5" i="11"/>
  <c r="E32" i="11"/>
  <c r="E34" i="11"/>
  <c r="G19" i="9"/>
  <c r="H33" i="11" l="1"/>
  <c r="H24" i="11"/>
  <c r="H22" i="11"/>
  <c r="H20" i="11"/>
  <c r="H6" i="11"/>
  <c r="F12" i="11"/>
  <c r="G6" i="11"/>
  <c r="G8" i="11"/>
  <c r="H8" i="11"/>
  <c r="G13" i="11"/>
  <c r="F35" i="11"/>
  <c r="G35" i="11" s="1"/>
  <c r="H31" i="11"/>
  <c r="D36" i="11"/>
  <c r="E36" i="11" s="1"/>
  <c r="E12" i="11"/>
  <c r="H13" i="11"/>
  <c r="H35" i="11" s="1"/>
  <c r="G5" i="9"/>
  <c r="H12" i="11" l="1"/>
  <c r="H36" i="11" s="1"/>
  <c r="F36" i="11"/>
  <c r="G36" i="11" s="1"/>
  <c r="G12" i="11"/>
  <c r="G27" i="9"/>
  <c r="G34" i="9" l="1"/>
  <c r="G33" i="9"/>
  <c r="G32" i="9"/>
  <c r="G31" i="9"/>
  <c r="G30" i="9"/>
  <c r="G29" i="9"/>
  <c r="G25" i="9"/>
  <c r="G23" i="9"/>
  <c r="G21" i="9"/>
  <c r="G20" i="9"/>
  <c r="G16" i="9"/>
  <c r="G15" i="9"/>
  <c r="G14" i="9"/>
  <c r="G22" i="9" l="1"/>
  <c r="G13" i="9"/>
  <c r="G11" i="9" l="1"/>
  <c r="G10" i="9"/>
  <c r="G9" i="9"/>
  <c r="G8" i="9"/>
  <c r="G7" i="9"/>
  <c r="G6" i="9"/>
  <c r="H22" i="9" l="1"/>
  <c r="I17" i="9"/>
  <c r="J17" i="9" s="1"/>
  <c r="I13" i="9"/>
  <c r="K13" i="9" s="1"/>
  <c r="M13" i="9" s="1"/>
  <c r="I11" i="9"/>
  <c r="J11" i="9" s="1"/>
  <c r="H9" i="9"/>
  <c r="I7" i="9"/>
  <c r="J7" i="9" s="1"/>
  <c r="I5" i="9"/>
  <c r="A14" i="9"/>
  <c r="A15" i="9" s="1"/>
  <c r="A16" i="9" s="1"/>
  <c r="A17" i="9" s="1"/>
  <c r="A18" i="9" s="1"/>
  <c r="A19" i="9" s="1"/>
  <c r="A20" i="9" s="1"/>
  <c r="A21" i="9" s="1"/>
  <c r="A22" i="9" s="1"/>
  <c r="A23" i="9" s="1"/>
  <c r="A24" i="9" s="1"/>
  <c r="A25" i="9" s="1"/>
  <c r="A26" i="9" s="1"/>
  <c r="A27" i="9" s="1"/>
  <c r="A28" i="9" s="1"/>
  <c r="A29" i="9" s="1"/>
  <c r="A30" i="9" s="1"/>
  <c r="A31" i="9" s="1"/>
  <c r="A32" i="9" s="1"/>
  <c r="A33" i="9" s="1"/>
  <c r="A34" i="9" s="1"/>
  <c r="M10" i="9"/>
  <c r="L10" i="9"/>
  <c r="I10" i="9"/>
  <c r="J10" i="9" s="1"/>
  <c r="A6" i="9"/>
  <c r="A7" i="9" s="1"/>
  <c r="A8" i="9" s="1"/>
  <c r="A9" i="9" s="1"/>
  <c r="A10" i="9" s="1"/>
  <c r="A11" i="9" s="1"/>
  <c r="I22" i="9" l="1"/>
  <c r="K22" i="9" s="1"/>
  <c r="M22" i="9" s="1"/>
  <c r="I9" i="9"/>
  <c r="J9" i="9" s="1"/>
  <c r="K17" i="9"/>
  <c r="M17" i="9" s="1"/>
  <c r="H11" i="9"/>
  <c r="H7" i="9"/>
  <c r="J5" i="9"/>
  <c r="K5" i="9"/>
  <c r="G12" i="9"/>
  <c r="H6" i="9"/>
  <c r="K7" i="9"/>
  <c r="H8" i="9"/>
  <c r="H10" i="9"/>
  <c r="L13" i="9"/>
  <c r="H5" i="9"/>
  <c r="I6" i="9"/>
  <c r="J6" i="9" s="1"/>
  <c r="I8" i="9"/>
  <c r="J8" i="9" s="1"/>
  <c r="K11" i="9"/>
  <c r="H13" i="9"/>
  <c r="H17" i="9"/>
  <c r="J13" i="9"/>
  <c r="J22" i="9" l="1"/>
  <c r="K9" i="9"/>
  <c r="L9" i="9" s="1"/>
  <c r="L22" i="9"/>
  <c r="L17" i="9"/>
  <c r="H12" i="9"/>
  <c r="M7" i="9"/>
  <c r="L7" i="9"/>
  <c r="K8" i="9"/>
  <c r="K6" i="9"/>
  <c r="M5" i="9"/>
  <c r="L5" i="9"/>
  <c r="M11" i="9"/>
  <c r="L11" i="9"/>
  <c r="M9" i="9"/>
  <c r="I12" i="9"/>
  <c r="M8" i="9" l="1"/>
  <c r="L8" i="9"/>
  <c r="J12" i="9"/>
  <c r="K12" i="9"/>
  <c r="M6" i="9"/>
  <c r="L6" i="9"/>
  <c r="L12" i="9" l="1"/>
  <c r="M12" i="9"/>
  <c r="I32" i="9" l="1"/>
  <c r="J32" i="9" s="1"/>
  <c r="H32" i="9"/>
  <c r="K32" i="9" l="1"/>
  <c r="L32" i="9" s="1"/>
  <c r="M32" i="9" l="1"/>
  <c r="H27" i="9" l="1"/>
  <c r="I27" i="9"/>
  <c r="J27" i="9" s="1"/>
  <c r="I24" i="9"/>
  <c r="J24" i="9" s="1"/>
  <c r="H24" i="9"/>
  <c r="K24" i="9" l="1"/>
  <c r="L24" i="9" s="1"/>
  <c r="K27" i="9"/>
  <c r="M27" i="9" s="1"/>
  <c r="I25" i="9"/>
  <c r="J25" i="9" s="1"/>
  <c r="H25" i="9"/>
  <c r="M24" i="9" l="1"/>
  <c r="K25" i="9"/>
  <c r="L25" i="9" s="1"/>
  <c r="L27" i="9"/>
  <c r="M25" i="9" l="1"/>
  <c r="I15" i="9"/>
  <c r="J15" i="9" s="1"/>
  <c r="H15" i="9"/>
  <c r="I28" i="9"/>
  <c r="J28" i="9" s="1"/>
  <c r="H28" i="9"/>
  <c r="K28" i="9" l="1"/>
  <c r="M28" i="9" s="1"/>
  <c r="I20" i="9"/>
  <c r="J20" i="9" s="1"/>
  <c r="H20" i="9"/>
  <c r="K15" i="9"/>
  <c r="L28" i="9" l="1"/>
  <c r="I23" i="9"/>
  <c r="J23" i="9" s="1"/>
  <c r="H23" i="9"/>
  <c r="I30" i="9"/>
  <c r="J30" i="9" s="1"/>
  <c r="H30" i="9"/>
  <c r="M15" i="9"/>
  <c r="L15" i="9"/>
  <c r="K20" i="9"/>
  <c r="K23" i="9" l="1"/>
  <c r="L23" i="9" s="1"/>
  <c r="M20" i="9"/>
  <c r="L20" i="9"/>
  <c r="I31" i="9"/>
  <c r="J31" i="9" s="1"/>
  <c r="H31" i="9"/>
  <c r="K30" i="9"/>
  <c r="I18" i="9"/>
  <c r="J18" i="9" s="1"/>
  <c r="H18" i="9"/>
  <c r="M23" i="9" l="1"/>
  <c r="K18" i="9"/>
  <c r="M18" i="9" s="1"/>
  <c r="K31" i="9"/>
  <c r="M31" i="9" s="1"/>
  <c r="M30" i="9"/>
  <c r="L30" i="9"/>
  <c r="L18" i="9"/>
  <c r="L31" i="9" l="1"/>
  <c r="I29" i="9"/>
  <c r="J29" i="9" s="1"/>
  <c r="H29" i="9"/>
  <c r="I33" i="9"/>
  <c r="J33" i="9" s="1"/>
  <c r="H33" i="9"/>
  <c r="K33" i="9" l="1"/>
  <c r="L33" i="9" s="1"/>
  <c r="H14" i="9"/>
  <c r="I14" i="9"/>
  <c r="K29" i="9"/>
  <c r="M33" i="9" l="1"/>
  <c r="M29" i="9"/>
  <c r="L29" i="9"/>
  <c r="K14" i="9"/>
  <c r="J14" i="9"/>
  <c r="I34" i="9" l="1"/>
  <c r="J34" i="9" s="1"/>
  <c r="H34" i="9"/>
  <c r="L14" i="9"/>
  <c r="M14" i="9"/>
  <c r="K34" i="9" l="1"/>
  <c r="I19" i="9" l="1"/>
  <c r="J19" i="9" s="1"/>
  <c r="H19" i="9"/>
  <c r="H16" i="9"/>
  <c r="I16" i="9"/>
  <c r="L34" i="9"/>
  <c r="M34" i="9"/>
  <c r="K19" i="9" l="1"/>
  <c r="M19" i="9" s="1"/>
  <c r="J16" i="9"/>
  <c r="K16" i="9"/>
  <c r="L19" i="9" l="1"/>
  <c r="I21" i="9"/>
  <c r="J21" i="9" s="1"/>
  <c r="H21" i="9"/>
  <c r="I26" i="9"/>
  <c r="H26" i="9"/>
  <c r="G35" i="9"/>
  <c r="M16" i="9"/>
  <c r="L16" i="9"/>
  <c r="K21" i="9" l="1"/>
  <c r="M21" i="9" s="1"/>
  <c r="J26" i="9"/>
  <c r="I35" i="9"/>
  <c r="G36" i="9"/>
  <c r="H36" i="9" s="1"/>
  <c r="H35" i="9"/>
  <c r="K26" i="9"/>
  <c r="L21" i="9" l="1"/>
  <c r="I36" i="9"/>
  <c r="J36" i="9" s="1"/>
  <c r="J35" i="9"/>
  <c r="M26" i="9"/>
  <c r="L26" i="9"/>
  <c r="K35" i="9"/>
  <c r="K36" i="9" l="1"/>
  <c r="L35" i="9"/>
  <c r="M35" i="9"/>
  <c r="M36" i="9" l="1"/>
  <c r="L36" i="9"/>
</calcChain>
</file>

<file path=xl/sharedStrings.xml><?xml version="1.0" encoding="utf-8"?>
<sst xmlns="http://schemas.openxmlformats.org/spreadsheetml/2006/main" count="131" uniqueCount="76">
  <si>
    <t>BUDGET LINE</t>
  </si>
  <si>
    <t>COM $</t>
  </si>
  <si>
    <t>%</t>
  </si>
  <si>
    <t>Basic salary - Professionals</t>
  </si>
  <si>
    <t>Basic salary - General staff</t>
  </si>
  <si>
    <t>Housing allowance</t>
  </si>
  <si>
    <t>Dependants allowance</t>
  </si>
  <si>
    <t>Gratuity</t>
  </si>
  <si>
    <t>Medical allowance</t>
  </si>
  <si>
    <t>Education allowance</t>
  </si>
  <si>
    <t>Total for staff costs</t>
  </si>
  <si>
    <t>Commissioners' honorarium</t>
  </si>
  <si>
    <t>Technical expenses</t>
  </si>
  <si>
    <t>Recruitment expenses</t>
  </si>
  <si>
    <t>Publication and Publicity</t>
  </si>
  <si>
    <t>Office supplies</t>
  </si>
  <si>
    <t>Public relations and Promotional activities</t>
  </si>
  <si>
    <t>Audit fees</t>
  </si>
  <si>
    <t>Legal fees</t>
  </si>
  <si>
    <t>Translation and Transcription</t>
  </si>
  <si>
    <t>M/V repair and maintenance</t>
  </si>
  <si>
    <t>Insurance motor vehicles</t>
  </si>
  <si>
    <t>Insurance other assets</t>
  </si>
  <si>
    <t>Communication</t>
  </si>
  <si>
    <t>Rent and Rates</t>
  </si>
  <si>
    <t>Hospitality</t>
  </si>
  <si>
    <t>Consultancy costs</t>
  </si>
  <si>
    <t>Bank charges</t>
  </si>
  <si>
    <t>Office furniture and Equipment</t>
  </si>
  <si>
    <t>Total operational costs</t>
  </si>
  <si>
    <t>Actual/Budget</t>
  </si>
  <si>
    <t>Variance</t>
  </si>
  <si>
    <t>Actual/Projected</t>
  </si>
  <si>
    <t>No</t>
  </si>
  <si>
    <t>Total regular budget</t>
  </si>
  <si>
    <t>2018  Budget</t>
  </si>
  <si>
    <t xml:space="preserve">Travel expenses - official </t>
  </si>
  <si>
    <t>Travel expenses - contractual</t>
  </si>
  <si>
    <t>2019 Proposed Budget</t>
  </si>
  <si>
    <t>Office cleaning services</t>
  </si>
  <si>
    <t>2018 Actual</t>
  </si>
  <si>
    <t xml:space="preserve">   2018         Variance</t>
  </si>
  <si>
    <t>2019       Actual/Budget</t>
  </si>
  <si>
    <t>2019                      Total Projected</t>
  </si>
  <si>
    <t xml:space="preserve">                                                     COMESA COMPETITION COMMISSION 2019 REGULAR BUDGET PERFORMANCE</t>
  </si>
  <si>
    <t>2019        ACTUAL Jan - Jun</t>
  </si>
  <si>
    <t>2019               Projected Jul - Dec</t>
  </si>
  <si>
    <t>DISCLOSURES/NOTES ON THE DIFFERENCES BETWEEN APPROVED BUDGET AND ACTUAL AMOUNTS</t>
  </si>
  <si>
    <t>These wre budgeted for a staff member who was scheduled to start work in January 2018 but joined the Commission in April. The other amount is budgeted for staff on General Staff scheduled to move to Intermediate Category according to COMESA Staff Rules. Consumption on Medical allowance is budgeted per family and is dependent on need.</t>
  </si>
  <si>
    <t>To be used during Board Meeting in November 2019.</t>
  </si>
  <si>
    <t>This budget line has been fully utilised.</t>
  </si>
  <si>
    <t>Recruitment process has been halted due to lack of office space. The Commission has engaged the government of Malawi to provide extra office space.</t>
  </si>
  <si>
    <t>To be used when attending COMESA statutory meetings in October, November and December 2019</t>
  </si>
  <si>
    <t>To be used when staff travel home on leave during the year.</t>
  </si>
  <si>
    <t>This budget will be fully utilised when printing COMESA Competition Commission Regulations and Rules and Fact Finding Sheets.</t>
  </si>
  <si>
    <t xml:space="preserve">This was budgeted with new staff in mind but recruitment has not taken place due to lack of office space. </t>
  </si>
  <si>
    <t>The balance was to be used during Malawi International Trade Fair but the Commission failed to attend due to riots in the host country</t>
  </si>
  <si>
    <t>This budget line will be utilised when having the 2018 external audit.</t>
  </si>
  <si>
    <t>This budget line is used for any unplanned litigation that might arise during the financial year which could not be expected at the time of budgeting. During the period under review there were no legal issues.</t>
  </si>
  <si>
    <t xml:space="preserve">Fuel and car maintenance is a support budget line, the Commission has made some savings on it. Though the vehicles are very old they didn't produce many problems during the first half of the year. </t>
  </si>
  <si>
    <t>Motor vehicles are insured in November of every year.</t>
  </si>
  <si>
    <t>Fixed assets are insured in July of every year</t>
  </si>
  <si>
    <t xml:space="preserve">Security, Utilies and  Maintanance of office for common areas </t>
  </si>
  <si>
    <t>This budget line will be utilised during the third and fourth quarter. The Commission is housed in  a building which has other offices so the bills are for corridors, gardens and elevator.</t>
  </si>
  <si>
    <t>These relate to phone bills, internet subscription and postage. Utilisation is dependent on consumption.</t>
  </si>
  <si>
    <t>Utility bills</t>
  </si>
  <si>
    <t>This budget line relates to utility bills for the office as well as a small office which is being rented as an archive for confidential files.</t>
  </si>
  <si>
    <t xml:space="preserve">Used for entertaining official visitors to the Commission </t>
  </si>
  <si>
    <t>Payments for office cleaning services</t>
  </si>
  <si>
    <t>Services for consultant to look at the Commission's performance appraisal system to be engaged in the third quarter,</t>
  </si>
  <si>
    <t>Bank charges are dependent on transactions going through the bank.</t>
  </si>
  <si>
    <t xml:space="preserve">Budgeted for new staff  but recruitment has not taken place due to lack of office space. </t>
  </si>
  <si>
    <t xml:space="preserve">Security, Utilities and Maintanance of office for common areas </t>
  </si>
  <si>
    <t>The Commission utilised 42% during the period under review. The balance on the operational costs will be utilised in the third and fourth quarter.</t>
  </si>
  <si>
    <t>Annex I</t>
  </si>
  <si>
    <t>Annex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</si>
</sst>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7" x14ac:knownFonts="1">
    <font>
      <sz val="11"/>
      <color theme="1"/>
      <name val="Calibri"/>
      <family val="2"/>
      <scheme val="minor"/>
    </font>
    <font>
      <sz val="11"/>
      <color theme="1"/>
      <name val="Calibri"/>
      <family val="2"/>
      <scheme val="minor"/>
    </font>
    <font>
      <b/>
      <sz val="14"/>
      <color theme="1"/>
      <name val="Times New Roman"/>
      <family val="1"/>
    </font>
    <font>
      <b/>
      <sz val="12"/>
      <color theme="1"/>
      <name val="Calibri"/>
      <family val="2"/>
      <scheme val="minor"/>
    </font>
    <font>
      <sz val="12"/>
      <color theme="1"/>
      <name val="Calibri"/>
      <family val="2"/>
      <scheme val="minor"/>
    </font>
    <font>
      <sz val="11"/>
      <color theme="1"/>
      <name val="Arial"/>
      <family val="2"/>
    </font>
    <font>
      <b/>
      <sz val="11"/>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xf numFmtId="0" fontId="5" fillId="0" borderId="0" xfId="0" applyFont="1" applyBorder="1"/>
    <xf numFmtId="165" fontId="5" fillId="0" borderId="0" xfId="1" applyNumberFormat="1" applyFont="1" applyBorder="1"/>
    <xf numFmtId="0" fontId="6" fillId="0" borderId="0" xfId="0" applyFont="1" applyBorder="1"/>
    <xf numFmtId="165" fontId="6" fillId="0" borderId="0" xfId="1" applyNumberFormat="1" applyFont="1" applyBorder="1"/>
    <xf numFmtId="0" fontId="6" fillId="0" borderId="1" xfId="0" applyFont="1" applyBorder="1" applyAlignment="1">
      <alignment wrapText="1"/>
    </xf>
    <xf numFmtId="0" fontId="6" fillId="0" borderId="1" xfId="0" applyFont="1" applyBorder="1" applyAlignment="1">
      <alignment horizontal="center"/>
    </xf>
    <xf numFmtId="0" fontId="5" fillId="0" borderId="1" xfId="0" applyFont="1" applyBorder="1"/>
    <xf numFmtId="0" fontId="6" fillId="0" borderId="1" xfId="0" applyFont="1" applyBorder="1"/>
    <xf numFmtId="0" fontId="5" fillId="0" borderId="1" xfId="0" applyFont="1" applyBorder="1" applyAlignment="1">
      <alignment wrapText="1"/>
    </xf>
    <xf numFmtId="9" fontId="6" fillId="0" borderId="0" xfId="2" applyFont="1" applyBorder="1"/>
    <xf numFmtId="9" fontId="5" fillId="0" borderId="0" xfId="2" applyFont="1" applyBorder="1"/>
    <xf numFmtId="164" fontId="5" fillId="0" borderId="0" xfId="1" applyFont="1" applyBorder="1"/>
    <xf numFmtId="164" fontId="6" fillId="0" borderId="0" xfId="1" applyFont="1" applyBorder="1"/>
    <xf numFmtId="165" fontId="6" fillId="0" borderId="1" xfId="1" applyNumberFormat="1" applyFont="1" applyBorder="1" applyAlignment="1">
      <alignment horizontal="center" wrapText="1"/>
    </xf>
    <xf numFmtId="9" fontId="6" fillId="0" borderId="1" xfId="2" applyFont="1" applyBorder="1" applyAlignment="1">
      <alignment wrapText="1"/>
    </xf>
    <xf numFmtId="164" fontId="6" fillId="0" borderId="1" xfId="1" applyFont="1" applyBorder="1" applyAlignment="1">
      <alignment wrapText="1"/>
    </xf>
    <xf numFmtId="165" fontId="6" fillId="0" borderId="1" xfId="1" applyNumberFormat="1" applyFont="1" applyBorder="1"/>
    <xf numFmtId="165" fontId="6" fillId="0" borderId="1" xfId="1" applyNumberFormat="1" applyFont="1" applyBorder="1" applyAlignment="1">
      <alignment horizontal="center"/>
    </xf>
    <xf numFmtId="9" fontId="6" fillId="0" borderId="1" xfId="2" applyFont="1" applyBorder="1" applyAlignment="1">
      <alignment horizontal="center"/>
    </xf>
    <xf numFmtId="164" fontId="6" fillId="0" borderId="1" xfId="1" applyFont="1" applyBorder="1" applyAlignment="1">
      <alignment horizontal="center"/>
    </xf>
    <xf numFmtId="165" fontId="5" fillId="0" borderId="1" xfId="1" applyNumberFormat="1" applyFont="1" applyBorder="1"/>
    <xf numFmtId="9" fontId="6" fillId="0" borderId="1" xfId="2" applyFont="1" applyBorder="1"/>
    <xf numFmtId="9" fontId="5" fillId="0" borderId="1" xfId="2" applyFont="1" applyBorder="1"/>
    <xf numFmtId="164" fontId="5" fillId="0" borderId="1" xfId="1" applyFont="1" applyBorder="1"/>
    <xf numFmtId="164" fontId="6" fillId="0" borderId="1" xfId="1" applyFont="1" applyBorder="1"/>
    <xf numFmtId="165" fontId="5" fillId="0" borderId="1" xfId="1" applyNumberFormat="1" applyFont="1" applyFill="1" applyBorder="1"/>
    <xf numFmtId="0" fontId="5" fillId="0" borderId="0" xfId="0" applyFont="1" applyFill="1" applyBorder="1"/>
    <xf numFmtId="165" fontId="5" fillId="0" borderId="0" xfId="1" applyNumberFormat="1" applyFont="1" applyFill="1" applyBorder="1"/>
    <xf numFmtId="9" fontId="6" fillId="0" borderId="0" xfId="2" applyFont="1" applyFill="1" applyBorder="1"/>
    <xf numFmtId="9" fontId="5" fillId="0" borderId="0" xfId="2" applyFont="1" applyFill="1" applyBorder="1"/>
    <xf numFmtId="0" fontId="6" fillId="0" borderId="0" xfId="0" applyFont="1" applyBorder="1" applyAlignment="1">
      <alignment wrapText="1"/>
    </xf>
    <xf numFmtId="165" fontId="3" fillId="0" borderId="1" xfId="1" applyNumberFormat="1" applyFont="1" applyBorder="1" applyAlignment="1">
      <alignment horizontal="center" wrapText="1"/>
    </xf>
    <xf numFmtId="165" fontId="3" fillId="0" borderId="1" xfId="1" applyNumberFormat="1" applyFont="1" applyBorder="1" applyAlignment="1">
      <alignment wrapText="1"/>
    </xf>
    <xf numFmtId="165" fontId="3" fillId="0" borderId="1" xfId="1" applyNumberFormat="1" applyFont="1" applyBorder="1" applyAlignment="1">
      <alignment horizontal="center"/>
    </xf>
    <xf numFmtId="165" fontId="4" fillId="0" borderId="1" xfId="1" applyNumberFormat="1" applyFont="1" applyBorder="1"/>
    <xf numFmtId="165" fontId="3" fillId="0" borderId="1" xfId="1" applyNumberFormat="1" applyFont="1" applyBorder="1"/>
    <xf numFmtId="165" fontId="4" fillId="0" borderId="1" xfId="1" applyNumberFormat="1" applyFont="1" applyFill="1" applyBorder="1"/>
    <xf numFmtId="9" fontId="6" fillId="0" borderId="1" xfId="2" applyFont="1" applyBorder="1" applyAlignment="1">
      <alignment horizontal="center" wrapText="1"/>
    </xf>
    <xf numFmtId="164" fontId="0" fillId="0" borderId="0" xfId="0" applyNumberFormat="1"/>
    <xf numFmtId="0" fontId="5" fillId="0" borderId="0" xfId="0" applyFont="1"/>
    <xf numFmtId="0" fontId="5" fillId="0" borderId="2" xfId="0" applyFont="1" applyFill="1" applyBorder="1" applyAlignment="1">
      <alignment wrapText="1"/>
    </xf>
    <xf numFmtId="0" fontId="5" fillId="0" borderId="1" xfId="0"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ACCOUNTS\ACCOUNTS%202019%20REGULAR\2019%20TRANSACTIONS%20REGULAR%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DIFFERENCES"/>
      <sheetName val="CHEQUES OPS"/>
      <sheetName val="STAFF COSTS"/>
      <sheetName val="PETTY CASH"/>
      <sheetName val="USD OP"/>
      <sheetName val="REC MK"/>
      <sheetName val="REC USD OP"/>
      <sheetName val="Prior year obligations"/>
    </sheetNames>
    <sheetDataSet>
      <sheetData sheetId="0"/>
      <sheetData sheetId="1">
        <row r="73">
          <cell r="I73">
            <v>277.4410722098653</v>
          </cell>
        </row>
        <row r="183">
          <cell r="I183">
            <v>1639.2520924818919</v>
          </cell>
          <cell r="J183">
            <v>11375.660542213234</v>
          </cell>
          <cell r="K183">
            <v>6072.5999278255276</v>
          </cell>
          <cell r="L183">
            <v>18326.527696889396</v>
          </cell>
          <cell r="M183">
            <v>2402.0377123798326</v>
          </cell>
          <cell r="N183">
            <v>830.80492709178964</v>
          </cell>
          <cell r="O183">
            <v>744.34753941735494</v>
          </cell>
          <cell r="P183">
            <v>1099.7327094414713</v>
          </cell>
          <cell r="R183">
            <v>1348.7096705937643</v>
          </cell>
          <cell r="S183">
            <v>1653.2291824335139</v>
          </cell>
          <cell r="T183">
            <v>0</v>
          </cell>
          <cell r="W183">
            <v>3307.4792019776141</v>
          </cell>
          <cell r="X183">
            <v>0</v>
          </cell>
          <cell r="Z183">
            <v>2276.9832222500372</v>
          </cell>
          <cell r="AA183">
            <v>4170.1163707317219</v>
          </cell>
          <cell r="AB183">
            <v>213.68351043595914</v>
          </cell>
          <cell r="AC183">
            <v>0</v>
          </cell>
          <cell r="AD183">
            <v>1269.9620692460624</v>
          </cell>
          <cell r="AE183">
            <v>0</v>
          </cell>
          <cell r="AH183">
            <v>1735.3493720015572</v>
          </cell>
          <cell r="AJ183">
            <v>0</v>
          </cell>
        </row>
      </sheetData>
      <sheetData sheetId="2">
        <row r="3">
          <cell r="E3">
            <v>22044.97</v>
          </cell>
        </row>
        <row r="38">
          <cell r="E38">
            <v>27601.13</v>
          </cell>
        </row>
        <row r="45">
          <cell r="E45">
            <v>177201.25000000003</v>
          </cell>
          <cell r="F45">
            <v>36227.170000000006</v>
          </cell>
          <cell r="G45">
            <v>74401.97</v>
          </cell>
          <cell r="H45">
            <v>28928.76</v>
          </cell>
          <cell r="I45">
            <v>2271.08</v>
          </cell>
          <cell r="J45">
            <v>24714.81</v>
          </cell>
          <cell r="K45">
            <v>4966.16</v>
          </cell>
        </row>
      </sheetData>
      <sheetData sheetId="3"/>
      <sheetData sheetId="4">
        <row r="31">
          <cell r="G31">
            <v>1650</v>
          </cell>
        </row>
        <row r="75">
          <cell r="G75">
            <v>10200</v>
          </cell>
          <cell r="H75">
            <v>138.69999999999999</v>
          </cell>
          <cell r="J75">
            <v>750</v>
          </cell>
          <cell r="K75">
            <v>0</v>
          </cell>
          <cell r="L75">
            <v>6166.99</v>
          </cell>
          <cell r="M75">
            <v>5770</v>
          </cell>
          <cell r="N75">
            <v>500</v>
          </cell>
          <cell r="O75">
            <v>0</v>
          </cell>
          <cell r="P75">
            <v>0</v>
          </cell>
          <cell r="Q75">
            <v>0</v>
          </cell>
          <cell r="R75">
            <v>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workbookViewId="0">
      <selection activeCell="B1" sqref="B1"/>
    </sheetView>
  </sheetViews>
  <sheetFormatPr defaultRowHeight="14.4" x14ac:dyDescent="0.3"/>
  <cols>
    <col min="1" max="1" width="8.88671875" style="2" customWidth="1"/>
    <col min="2" max="2" width="32.6640625" style="2" customWidth="1"/>
    <col min="3" max="3" width="12.44140625" style="3" customWidth="1"/>
    <col min="4" max="4" width="12" style="3" customWidth="1"/>
    <col min="5" max="5" width="11.44140625" style="3" customWidth="1"/>
    <col min="6" max="6" width="13.5546875" style="3" customWidth="1"/>
    <col min="7" max="7" width="14.5546875" style="3" customWidth="1"/>
    <col min="8" max="8" width="8.6640625" style="11" customWidth="1"/>
    <col min="9" max="9" width="15" style="3" customWidth="1"/>
    <col min="10" max="10" width="7.44140625" style="12" customWidth="1"/>
    <col min="11" max="11" width="13.88671875" style="3" customWidth="1"/>
    <col min="12" max="12" width="7.5546875" style="13" customWidth="1"/>
    <col min="13" max="13" width="8.33203125" style="12" customWidth="1"/>
    <col min="15" max="15" width="10.5546875" bestFit="1" customWidth="1"/>
  </cols>
  <sheetData>
    <row r="1" spans="1:13" x14ac:dyDescent="0.3">
      <c r="B1" s="2" t="s">
        <v>74</v>
      </c>
    </row>
    <row r="2" spans="1:13" x14ac:dyDescent="0.3">
      <c r="A2" s="32"/>
      <c r="B2" s="4" t="s">
        <v>44</v>
      </c>
      <c r="C2" s="5"/>
      <c r="D2" s="5"/>
      <c r="E2" s="5"/>
      <c r="F2" s="5"/>
      <c r="G2" s="5"/>
      <c r="I2" s="5"/>
      <c r="J2" s="11"/>
      <c r="K2" s="5"/>
      <c r="L2" s="14"/>
      <c r="M2" s="11"/>
    </row>
    <row r="3" spans="1:13" ht="42" x14ac:dyDescent="0.3">
      <c r="A3" s="6" t="s">
        <v>33</v>
      </c>
      <c r="B3" s="6" t="s">
        <v>0</v>
      </c>
      <c r="C3" s="33" t="s">
        <v>35</v>
      </c>
      <c r="D3" s="33" t="s">
        <v>40</v>
      </c>
      <c r="E3" s="34" t="s">
        <v>41</v>
      </c>
      <c r="F3" s="15" t="s">
        <v>38</v>
      </c>
      <c r="G3" s="15" t="s">
        <v>45</v>
      </c>
      <c r="H3" s="39" t="s">
        <v>42</v>
      </c>
      <c r="I3" s="15" t="s">
        <v>46</v>
      </c>
      <c r="J3" s="16" t="s">
        <v>32</v>
      </c>
      <c r="K3" s="15" t="s">
        <v>43</v>
      </c>
      <c r="L3" s="17" t="s">
        <v>31</v>
      </c>
      <c r="M3" s="16" t="s">
        <v>30</v>
      </c>
    </row>
    <row r="4" spans="1:13" ht="16.649999999999999" customHeight="1" x14ac:dyDescent="0.3">
      <c r="A4" s="7"/>
      <c r="B4" s="7"/>
      <c r="C4" s="35" t="s">
        <v>1</v>
      </c>
      <c r="D4" s="35" t="s">
        <v>1</v>
      </c>
      <c r="E4" s="35" t="s">
        <v>1</v>
      </c>
      <c r="F4" s="19" t="s">
        <v>1</v>
      </c>
      <c r="G4" s="19" t="s">
        <v>1</v>
      </c>
      <c r="H4" s="20" t="s">
        <v>2</v>
      </c>
      <c r="I4" s="19" t="s">
        <v>1</v>
      </c>
      <c r="J4" s="20" t="s">
        <v>2</v>
      </c>
      <c r="K4" s="19" t="s">
        <v>1</v>
      </c>
      <c r="L4" s="21" t="s">
        <v>1</v>
      </c>
      <c r="M4" s="20" t="s">
        <v>2</v>
      </c>
    </row>
    <row r="5" spans="1:13" ht="16.649999999999999" customHeight="1" x14ac:dyDescent="0.3">
      <c r="A5" s="8">
        <v>1</v>
      </c>
      <c r="B5" s="8" t="s">
        <v>3</v>
      </c>
      <c r="C5" s="36">
        <v>334196</v>
      </c>
      <c r="D5" s="36">
        <v>266089.63</v>
      </c>
      <c r="E5" s="36">
        <v>68106.37</v>
      </c>
      <c r="F5" s="22">
        <v>339415</v>
      </c>
      <c r="G5" s="22">
        <f>'[1]STAFF COSTS'!$E$45-'[1]STAFF COSTS'!$E$38</f>
        <v>149600.12000000002</v>
      </c>
      <c r="H5" s="23">
        <f>G5/F5</f>
        <v>0.44075871720460214</v>
      </c>
      <c r="I5" s="22">
        <f>F5-G5</f>
        <v>189814.87999999998</v>
      </c>
      <c r="J5" s="24">
        <f>I5/F5</f>
        <v>0.55924128279539786</v>
      </c>
      <c r="K5" s="22">
        <f>G5+I5</f>
        <v>339415</v>
      </c>
      <c r="L5" s="25">
        <f>F5-K5</f>
        <v>0</v>
      </c>
      <c r="M5" s="24">
        <f t="shared" ref="M5:M36" si="0">K5/F5</f>
        <v>1</v>
      </c>
    </row>
    <row r="6" spans="1:13" ht="16.649999999999999" customHeight="1" x14ac:dyDescent="0.3">
      <c r="A6" s="8">
        <f>A5+1</f>
        <v>2</v>
      </c>
      <c r="B6" s="8" t="s">
        <v>4</v>
      </c>
      <c r="C6" s="36">
        <v>64703</v>
      </c>
      <c r="D6" s="36">
        <v>49910.849999999984</v>
      </c>
      <c r="E6" s="36">
        <v>14792.150000000016</v>
      </c>
      <c r="F6" s="22">
        <v>77175</v>
      </c>
      <c r="G6" s="22">
        <f>'[1]STAFF COSTS'!$F$45</f>
        <v>36227.170000000006</v>
      </c>
      <c r="H6" s="23">
        <f t="shared" ref="H6:H36" si="1">G6/F6</f>
        <v>0.46941587301587306</v>
      </c>
      <c r="I6" s="22">
        <f t="shared" ref="I6:I11" si="2">F6-G6</f>
        <v>40947.829999999994</v>
      </c>
      <c r="J6" s="24">
        <f t="shared" ref="J6:J11" si="3">I6/F6</f>
        <v>0.53058412698412694</v>
      </c>
      <c r="K6" s="22">
        <f>G6+I6</f>
        <v>77175</v>
      </c>
      <c r="L6" s="25">
        <f>F6-K6</f>
        <v>0</v>
      </c>
      <c r="M6" s="24">
        <f t="shared" si="0"/>
        <v>1</v>
      </c>
    </row>
    <row r="7" spans="1:13" ht="16.649999999999999" customHeight="1" x14ac:dyDescent="0.3">
      <c r="A7" s="8">
        <f t="shared" ref="A7:A11" si="4">A6+1</f>
        <v>3</v>
      </c>
      <c r="B7" s="8" t="s">
        <v>5</v>
      </c>
      <c r="C7" s="36">
        <v>144842.20000000001</v>
      </c>
      <c r="D7" s="36">
        <v>125563.23000000003</v>
      </c>
      <c r="E7" s="36">
        <v>19278.969999999987</v>
      </c>
      <c r="F7" s="22">
        <v>144841.96000000002</v>
      </c>
      <c r="G7" s="22">
        <f>'[1]STAFF COSTS'!$G$45</f>
        <v>74401.97</v>
      </c>
      <c r="H7" s="23">
        <f t="shared" si="1"/>
        <v>0.5136769068852699</v>
      </c>
      <c r="I7" s="22">
        <f t="shared" si="2"/>
        <v>70439.99000000002</v>
      </c>
      <c r="J7" s="24">
        <f t="shared" si="3"/>
        <v>0.4863230931147301</v>
      </c>
      <c r="K7" s="22">
        <f>G7+I7</f>
        <v>144841.96000000002</v>
      </c>
      <c r="L7" s="25">
        <f t="shared" ref="L7:L11" si="5">F7-K7</f>
        <v>0</v>
      </c>
      <c r="M7" s="24">
        <f t="shared" si="0"/>
        <v>1</v>
      </c>
    </row>
    <row r="8" spans="1:13" ht="16.649999999999999" customHeight="1" x14ac:dyDescent="0.3">
      <c r="A8" s="8">
        <f t="shared" si="4"/>
        <v>4</v>
      </c>
      <c r="B8" s="8" t="s">
        <v>6</v>
      </c>
      <c r="C8" s="36">
        <v>6079</v>
      </c>
      <c r="D8" s="36">
        <v>5014.0800000000008</v>
      </c>
      <c r="E8" s="36">
        <v>1064.9199999999992</v>
      </c>
      <c r="F8" s="22">
        <v>6079</v>
      </c>
      <c r="G8" s="22">
        <f>'[1]STAFF COSTS'!$I$45</f>
        <v>2271.08</v>
      </c>
      <c r="H8" s="23">
        <f t="shared" si="1"/>
        <v>0.37359434117453527</v>
      </c>
      <c r="I8" s="22">
        <f t="shared" si="2"/>
        <v>3807.92</v>
      </c>
      <c r="J8" s="24">
        <f t="shared" si="3"/>
        <v>0.62640565882546473</v>
      </c>
      <c r="K8" s="22">
        <f>G8+I8</f>
        <v>6079</v>
      </c>
      <c r="L8" s="25">
        <f t="shared" si="5"/>
        <v>0</v>
      </c>
      <c r="M8" s="24">
        <f t="shared" si="0"/>
        <v>1</v>
      </c>
    </row>
    <row r="9" spans="1:13" ht="16.649999999999999" customHeight="1" x14ac:dyDescent="0.3">
      <c r="A9" s="8">
        <f t="shared" si="4"/>
        <v>5</v>
      </c>
      <c r="B9" s="8" t="s">
        <v>7</v>
      </c>
      <c r="C9" s="36">
        <v>59833.85</v>
      </c>
      <c r="D9" s="36">
        <v>47153.700000000004</v>
      </c>
      <c r="E9" s="36">
        <v>12680.149999999994</v>
      </c>
      <c r="F9" s="22">
        <v>62405.749999999993</v>
      </c>
      <c r="G9" s="22">
        <f>'[1]STAFF COSTS'!$H$45</f>
        <v>28928.76</v>
      </c>
      <c r="H9" s="23">
        <f t="shared" si="1"/>
        <v>0.46355920728458516</v>
      </c>
      <c r="I9" s="22">
        <f t="shared" si="2"/>
        <v>33476.989999999991</v>
      </c>
      <c r="J9" s="24">
        <f t="shared" si="3"/>
        <v>0.53644079271541478</v>
      </c>
      <c r="K9" s="22">
        <f>G9+I9</f>
        <v>62405.749999999985</v>
      </c>
      <c r="L9" s="25">
        <f t="shared" si="5"/>
        <v>0</v>
      </c>
      <c r="M9" s="24">
        <f t="shared" si="0"/>
        <v>0.99999999999999989</v>
      </c>
    </row>
    <row r="10" spans="1:13" ht="16.649999999999999" customHeight="1" x14ac:dyDescent="0.3">
      <c r="A10" s="8">
        <f t="shared" si="4"/>
        <v>6</v>
      </c>
      <c r="B10" s="8" t="s">
        <v>8</v>
      </c>
      <c r="C10" s="36">
        <v>33750</v>
      </c>
      <c r="D10" s="36">
        <v>557.6</v>
      </c>
      <c r="E10" s="36">
        <v>33192.400000000001</v>
      </c>
      <c r="F10" s="22">
        <v>33750</v>
      </c>
      <c r="G10" s="22">
        <f>'[1]STAFF COSTS'!$K$45</f>
        <v>4966.16</v>
      </c>
      <c r="H10" s="23">
        <f t="shared" si="1"/>
        <v>0.14714548148148149</v>
      </c>
      <c r="I10" s="22">
        <f t="shared" si="2"/>
        <v>28783.84</v>
      </c>
      <c r="J10" s="24">
        <f t="shared" si="3"/>
        <v>0.85285451851851857</v>
      </c>
      <c r="K10" s="22">
        <v>33750</v>
      </c>
      <c r="L10" s="25">
        <f t="shared" si="5"/>
        <v>0</v>
      </c>
      <c r="M10" s="24">
        <f t="shared" si="0"/>
        <v>1</v>
      </c>
    </row>
    <row r="11" spans="1:13" ht="16.649999999999999" customHeight="1" x14ac:dyDescent="0.3">
      <c r="A11" s="8">
        <f t="shared" si="4"/>
        <v>7</v>
      </c>
      <c r="B11" s="8" t="s">
        <v>9</v>
      </c>
      <c r="C11" s="36">
        <v>72604</v>
      </c>
      <c r="D11" s="36">
        <v>29619.61</v>
      </c>
      <c r="E11" s="36">
        <v>42984.39</v>
      </c>
      <c r="F11" s="22">
        <v>72604</v>
      </c>
      <c r="G11" s="22">
        <f>'[1]STAFF COSTS'!$J$45+7000</f>
        <v>31714.81</v>
      </c>
      <c r="H11" s="23">
        <f t="shared" si="1"/>
        <v>0.4368190457826015</v>
      </c>
      <c r="I11" s="22">
        <f t="shared" si="2"/>
        <v>40889.19</v>
      </c>
      <c r="J11" s="24">
        <f t="shared" si="3"/>
        <v>0.56318095421739855</v>
      </c>
      <c r="K11" s="22">
        <f>G11+I11</f>
        <v>72604</v>
      </c>
      <c r="L11" s="25">
        <f t="shared" si="5"/>
        <v>0</v>
      </c>
      <c r="M11" s="24">
        <f t="shared" si="0"/>
        <v>1</v>
      </c>
    </row>
    <row r="12" spans="1:13" ht="16.649999999999999" customHeight="1" x14ac:dyDescent="0.3">
      <c r="A12" s="9"/>
      <c r="B12" s="9" t="s">
        <v>10</v>
      </c>
      <c r="C12" s="37">
        <v>716008.04999999993</v>
      </c>
      <c r="D12" s="37">
        <v>523908.7</v>
      </c>
      <c r="E12" s="37">
        <v>192099.34999999998</v>
      </c>
      <c r="F12" s="18">
        <v>736270.71</v>
      </c>
      <c r="G12" s="18">
        <f t="shared" ref="G12" si="6">SUM(G5:G11)</f>
        <v>328110.07</v>
      </c>
      <c r="H12" s="23">
        <f t="shared" si="1"/>
        <v>0.44563781438487488</v>
      </c>
      <c r="I12" s="18">
        <f t="shared" ref="I12" si="7">SUM(I5:I11)</f>
        <v>408160.63999999996</v>
      </c>
      <c r="J12" s="23">
        <f>I12/F12</f>
        <v>0.55436218561512518</v>
      </c>
      <c r="K12" s="18">
        <f t="shared" ref="K12:L12" si="8">SUM(K5:K11)</f>
        <v>736270.71</v>
      </c>
      <c r="L12" s="26">
        <f t="shared" si="8"/>
        <v>0</v>
      </c>
      <c r="M12" s="23">
        <f t="shared" si="0"/>
        <v>1</v>
      </c>
    </row>
    <row r="13" spans="1:13" ht="16.649999999999999" customHeight="1" x14ac:dyDescent="0.3">
      <c r="A13" s="8">
        <v>8</v>
      </c>
      <c r="B13" s="8" t="s">
        <v>11</v>
      </c>
      <c r="C13" s="36">
        <v>15000</v>
      </c>
      <c r="D13" s="36">
        <v>13950</v>
      </c>
      <c r="E13" s="36">
        <v>1050</v>
      </c>
      <c r="F13" s="22">
        <v>15000</v>
      </c>
      <c r="G13" s="22">
        <f>'[1]USD OP'!$M$75</f>
        <v>5770</v>
      </c>
      <c r="H13" s="23">
        <f t="shared" si="1"/>
        <v>0.38466666666666666</v>
      </c>
      <c r="I13" s="22">
        <f>F13-G13</f>
        <v>9230</v>
      </c>
      <c r="J13" s="24">
        <f>I13/F13</f>
        <v>0.61533333333333329</v>
      </c>
      <c r="K13" s="22">
        <f t="shared" ref="K13:K34" si="9">G13+I13</f>
        <v>15000</v>
      </c>
      <c r="L13" s="25">
        <f>F13-K13</f>
        <v>0</v>
      </c>
      <c r="M13" s="24">
        <f t="shared" si="0"/>
        <v>1</v>
      </c>
    </row>
    <row r="14" spans="1:13" ht="16.649999999999999" customHeight="1" x14ac:dyDescent="0.3">
      <c r="A14" s="8">
        <f>A13+1</f>
        <v>9</v>
      </c>
      <c r="B14" s="8" t="s">
        <v>12</v>
      </c>
      <c r="C14" s="36">
        <v>8000</v>
      </c>
      <c r="D14" s="36">
        <v>7635.5611707720627</v>
      </c>
      <c r="E14" s="36">
        <v>364.43882922793728</v>
      </c>
      <c r="F14" s="22">
        <v>5000</v>
      </c>
      <c r="G14" s="22">
        <f>'[1]CHEQUES OPS'!$AA$183+'[1]USD OP'!$J$75</f>
        <v>4920.1163707317219</v>
      </c>
      <c r="H14" s="23">
        <f t="shared" si="1"/>
        <v>0.98402327414634438</v>
      </c>
      <c r="I14" s="22">
        <f t="shared" ref="I14:I34" si="10">F14-G14</f>
        <v>79.883629268278128</v>
      </c>
      <c r="J14" s="24">
        <f t="shared" ref="J14:J36" si="11">I14/F14</f>
        <v>1.5976725853655626E-2</v>
      </c>
      <c r="K14" s="22">
        <f t="shared" si="9"/>
        <v>5000</v>
      </c>
      <c r="L14" s="25">
        <f t="shared" ref="L14:L36" si="12">F14-K14</f>
        <v>0</v>
      </c>
      <c r="M14" s="24">
        <f t="shared" si="0"/>
        <v>1</v>
      </c>
    </row>
    <row r="15" spans="1:13" ht="16.649999999999999" customHeight="1" x14ac:dyDescent="0.3">
      <c r="A15" s="8">
        <f t="shared" ref="A15:A34" si="13">A14+1</f>
        <v>10</v>
      </c>
      <c r="B15" s="8" t="s">
        <v>13</v>
      </c>
      <c r="C15" s="36">
        <v>5000</v>
      </c>
      <c r="D15" s="36">
        <v>3926.4518058148969</v>
      </c>
      <c r="E15" s="36">
        <v>1073.5481941851031</v>
      </c>
      <c r="F15" s="22">
        <v>5000</v>
      </c>
      <c r="G15" s="22">
        <f>'[1]CHEQUES OPS'!$R$183+'[1]USD OP'!$R$75</f>
        <v>1348.7096705937643</v>
      </c>
      <c r="H15" s="23">
        <f t="shared" si="1"/>
        <v>0.26974193411875286</v>
      </c>
      <c r="I15" s="22">
        <f t="shared" si="10"/>
        <v>3651.2903294062357</v>
      </c>
      <c r="J15" s="24">
        <f t="shared" si="11"/>
        <v>0.7302580658812472</v>
      </c>
      <c r="K15" s="22">
        <f t="shared" si="9"/>
        <v>5000</v>
      </c>
      <c r="L15" s="25">
        <f t="shared" si="12"/>
        <v>0</v>
      </c>
      <c r="M15" s="24">
        <f t="shared" si="0"/>
        <v>1</v>
      </c>
    </row>
    <row r="16" spans="1:13" ht="16.649999999999999" customHeight="1" x14ac:dyDescent="0.3">
      <c r="A16" s="8">
        <f t="shared" si="13"/>
        <v>11</v>
      </c>
      <c r="B16" s="10" t="s">
        <v>36</v>
      </c>
      <c r="C16" s="36">
        <v>45000</v>
      </c>
      <c r="D16" s="36">
        <v>44759.345578812812</v>
      </c>
      <c r="E16" s="36">
        <v>240.65442118718784</v>
      </c>
      <c r="F16" s="22">
        <v>50000</v>
      </c>
      <c r="G16" s="22">
        <f>'[1]CHEQUES OPS'!$W$183+'[1]USD OP'!$G$75</f>
        <v>13507.479201977614</v>
      </c>
      <c r="H16" s="23">
        <f t="shared" si="1"/>
        <v>0.2701495840395523</v>
      </c>
      <c r="I16" s="22">
        <f t="shared" si="10"/>
        <v>36492.520798022386</v>
      </c>
      <c r="J16" s="24">
        <f t="shared" si="11"/>
        <v>0.72985041596044775</v>
      </c>
      <c r="K16" s="22">
        <f t="shared" si="9"/>
        <v>50000</v>
      </c>
      <c r="L16" s="25">
        <f t="shared" si="12"/>
        <v>0</v>
      </c>
      <c r="M16" s="24">
        <f t="shared" si="0"/>
        <v>1</v>
      </c>
    </row>
    <row r="17" spans="1:15" ht="16.649999999999999" customHeight="1" x14ac:dyDescent="0.3">
      <c r="A17" s="8">
        <f t="shared" si="13"/>
        <v>12</v>
      </c>
      <c r="B17" s="10" t="s">
        <v>37</v>
      </c>
      <c r="C17" s="36">
        <v>5000</v>
      </c>
      <c r="D17" s="36">
        <v>1965</v>
      </c>
      <c r="E17" s="36">
        <v>3035</v>
      </c>
      <c r="F17" s="22">
        <v>5000</v>
      </c>
      <c r="G17" s="22">
        <v>3000</v>
      </c>
      <c r="H17" s="23">
        <f t="shared" si="1"/>
        <v>0.6</v>
      </c>
      <c r="I17" s="22">
        <f t="shared" si="10"/>
        <v>2000</v>
      </c>
      <c r="J17" s="24">
        <f t="shared" si="11"/>
        <v>0.4</v>
      </c>
      <c r="K17" s="22">
        <f t="shared" si="9"/>
        <v>5000</v>
      </c>
      <c r="L17" s="25">
        <f t="shared" si="12"/>
        <v>0</v>
      </c>
      <c r="M17" s="24">
        <f t="shared" si="0"/>
        <v>1</v>
      </c>
    </row>
    <row r="18" spans="1:15" ht="16.649999999999999" customHeight="1" x14ac:dyDescent="0.3">
      <c r="A18" s="8">
        <f t="shared" si="13"/>
        <v>13</v>
      </c>
      <c r="B18" s="8" t="s">
        <v>14</v>
      </c>
      <c r="C18" s="36">
        <v>5000</v>
      </c>
      <c r="D18" s="36">
        <v>4846.0095032638646</v>
      </c>
      <c r="E18" s="36">
        <v>153.99049673613536</v>
      </c>
      <c r="F18" s="22">
        <v>8000</v>
      </c>
      <c r="G18" s="22">
        <f>'[1]CHEQUES OPS'!$AD$183+'[1]USD OP'!$P$75+3000</f>
        <v>4269.9620692460621</v>
      </c>
      <c r="H18" s="23">
        <f t="shared" si="1"/>
        <v>0.53374525865575773</v>
      </c>
      <c r="I18" s="22">
        <f t="shared" si="10"/>
        <v>3730.0379307539379</v>
      </c>
      <c r="J18" s="24">
        <f t="shared" si="11"/>
        <v>0.46625474134424222</v>
      </c>
      <c r="K18" s="22">
        <f t="shared" si="9"/>
        <v>8000</v>
      </c>
      <c r="L18" s="25">
        <f t="shared" si="12"/>
        <v>0</v>
      </c>
      <c r="M18" s="24">
        <f t="shared" si="0"/>
        <v>1</v>
      </c>
    </row>
    <row r="19" spans="1:15" ht="16.649999999999999" customHeight="1" x14ac:dyDescent="0.3">
      <c r="A19" s="8">
        <f t="shared" si="13"/>
        <v>14</v>
      </c>
      <c r="B19" s="8" t="s">
        <v>15</v>
      </c>
      <c r="C19" s="36">
        <v>8000</v>
      </c>
      <c r="D19" s="38">
        <v>7560.3258359877173</v>
      </c>
      <c r="E19" s="36">
        <v>439.67416401228274</v>
      </c>
      <c r="F19" s="22">
        <v>8000</v>
      </c>
      <c r="G19" s="27">
        <f>'[1]CHEQUES OPS'!$N$183+'[1]CHEQUES OPS'!$X$183+2000</f>
        <v>2830.8049270917895</v>
      </c>
      <c r="H19" s="23">
        <f t="shared" si="1"/>
        <v>0.35385061588647371</v>
      </c>
      <c r="I19" s="22">
        <f t="shared" si="10"/>
        <v>5169.1950729082109</v>
      </c>
      <c r="J19" s="24">
        <f t="shared" si="11"/>
        <v>0.6461493841135264</v>
      </c>
      <c r="K19" s="22">
        <f t="shared" si="9"/>
        <v>8000</v>
      </c>
      <c r="L19" s="25">
        <f t="shared" si="12"/>
        <v>0</v>
      </c>
      <c r="M19" s="24">
        <f t="shared" si="0"/>
        <v>1</v>
      </c>
    </row>
    <row r="20" spans="1:15" ht="28.2" x14ac:dyDescent="0.3">
      <c r="A20" s="8">
        <f t="shared" si="13"/>
        <v>15</v>
      </c>
      <c r="B20" s="10" t="s">
        <v>16</v>
      </c>
      <c r="C20" s="36">
        <v>5690</v>
      </c>
      <c r="D20" s="36">
        <v>5552.16</v>
      </c>
      <c r="E20" s="36">
        <v>137.84000000000015</v>
      </c>
      <c r="F20" s="22">
        <v>5000</v>
      </c>
      <c r="G20" s="22">
        <f>'[1]CHEQUES OPS'!$AH$183+'[1]USD OP'!$P$75</f>
        <v>1735.3493720015572</v>
      </c>
      <c r="H20" s="23">
        <f t="shared" si="1"/>
        <v>0.34706987440031145</v>
      </c>
      <c r="I20" s="22">
        <f t="shared" si="10"/>
        <v>3264.6506279984428</v>
      </c>
      <c r="J20" s="24">
        <f t="shared" si="11"/>
        <v>0.65293012559968855</v>
      </c>
      <c r="K20" s="22">
        <f t="shared" si="9"/>
        <v>5000</v>
      </c>
      <c r="L20" s="25">
        <f t="shared" si="12"/>
        <v>0</v>
      </c>
      <c r="M20" s="24">
        <f t="shared" si="0"/>
        <v>1</v>
      </c>
    </row>
    <row r="21" spans="1:15" ht="16.649999999999999" customHeight="1" x14ac:dyDescent="0.3">
      <c r="A21" s="8">
        <f t="shared" si="13"/>
        <v>16</v>
      </c>
      <c r="B21" s="8" t="s">
        <v>17</v>
      </c>
      <c r="C21" s="36">
        <v>20910</v>
      </c>
      <c r="D21" s="36">
        <v>20909.558174386919</v>
      </c>
      <c r="E21" s="36">
        <v>0.44182561308116419</v>
      </c>
      <c r="F21" s="22">
        <v>30000</v>
      </c>
      <c r="G21" s="22">
        <f>'[1]CHEQUES OPS'!$AC$183+'[1]USD OP'!$K$75</f>
        <v>0</v>
      </c>
      <c r="H21" s="23">
        <f t="shared" si="1"/>
        <v>0</v>
      </c>
      <c r="I21" s="22">
        <f t="shared" si="10"/>
        <v>30000</v>
      </c>
      <c r="J21" s="24">
        <f t="shared" si="11"/>
        <v>1</v>
      </c>
      <c r="K21" s="22">
        <f t="shared" si="9"/>
        <v>30000</v>
      </c>
      <c r="L21" s="25">
        <f t="shared" si="12"/>
        <v>0</v>
      </c>
      <c r="M21" s="24">
        <f t="shared" si="0"/>
        <v>1</v>
      </c>
    </row>
    <row r="22" spans="1:15" ht="16.649999999999999" customHeight="1" x14ac:dyDescent="0.3">
      <c r="A22" s="8">
        <f t="shared" si="13"/>
        <v>17</v>
      </c>
      <c r="B22" s="8" t="s">
        <v>18</v>
      </c>
      <c r="C22" s="36">
        <v>7000</v>
      </c>
      <c r="D22" s="36">
        <v>0</v>
      </c>
      <c r="E22" s="36">
        <v>7000</v>
      </c>
      <c r="F22" s="22">
        <v>7000</v>
      </c>
      <c r="G22" s="22">
        <f>'[1]USD OP'!$O$75</f>
        <v>0</v>
      </c>
      <c r="H22" s="23">
        <f t="shared" si="1"/>
        <v>0</v>
      </c>
      <c r="I22" s="22">
        <f t="shared" si="10"/>
        <v>7000</v>
      </c>
      <c r="J22" s="24">
        <f t="shared" si="11"/>
        <v>1</v>
      </c>
      <c r="K22" s="22">
        <f t="shared" si="9"/>
        <v>7000</v>
      </c>
      <c r="L22" s="25">
        <f t="shared" si="12"/>
        <v>0</v>
      </c>
      <c r="M22" s="24">
        <f t="shared" si="0"/>
        <v>1</v>
      </c>
    </row>
    <row r="23" spans="1:15" ht="16.649999999999999" customHeight="1" x14ac:dyDescent="0.3">
      <c r="A23" s="8">
        <f t="shared" si="13"/>
        <v>18</v>
      </c>
      <c r="B23" s="8" t="s">
        <v>19</v>
      </c>
      <c r="C23" s="36">
        <v>7000</v>
      </c>
      <c r="D23" s="36">
        <v>4699.8893069926771</v>
      </c>
      <c r="E23" s="36">
        <v>2300.1106930073229</v>
      </c>
      <c r="F23" s="22">
        <v>7000</v>
      </c>
      <c r="G23" s="22">
        <f>'[1]CHEQUES OPS'!$AE$183+'[1]USD OP'!$L$75</f>
        <v>6166.99</v>
      </c>
      <c r="H23" s="23">
        <f t="shared" si="1"/>
        <v>0.88099857142857141</v>
      </c>
      <c r="I23" s="22">
        <f t="shared" si="10"/>
        <v>833.01000000000022</v>
      </c>
      <c r="J23" s="24">
        <f t="shared" si="11"/>
        <v>0.11900142857142861</v>
      </c>
      <c r="K23" s="22">
        <f t="shared" si="9"/>
        <v>7000</v>
      </c>
      <c r="L23" s="25">
        <f t="shared" si="12"/>
        <v>0</v>
      </c>
      <c r="M23" s="24">
        <f t="shared" si="0"/>
        <v>1</v>
      </c>
    </row>
    <row r="24" spans="1:15" ht="16.649999999999999" customHeight="1" x14ac:dyDescent="0.3">
      <c r="A24" s="8">
        <f t="shared" si="13"/>
        <v>19</v>
      </c>
      <c r="B24" s="8" t="s">
        <v>20</v>
      </c>
      <c r="C24" s="36">
        <v>8000</v>
      </c>
      <c r="D24" s="36">
        <v>6631.1962218805002</v>
      </c>
      <c r="E24" s="36">
        <f>8000-6631</f>
        <v>1369</v>
      </c>
      <c r="F24" s="22">
        <v>8000</v>
      </c>
      <c r="G24" s="22">
        <f>'[1]CHEQUES OPS'!$I$183+'[1]CHEQUES OPS'!$V$75+2000</f>
        <v>3639.2520924818919</v>
      </c>
      <c r="H24" s="23">
        <f t="shared" si="1"/>
        <v>0.45490651156023648</v>
      </c>
      <c r="I24" s="22">
        <f t="shared" si="10"/>
        <v>4360.7479075181081</v>
      </c>
      <c r="J24" s="24">
        <f t="shared" si="11"/>
        <v>0.54509348843976357</v>
      </c>
      <c r="K24" s="22">
        <f t="shared" si="9"/>
        <v>8000</v>
      </c>
      <c r="L24" s="25">
        <f t="shared" si="12"/>
        <v>0</v>
      </c>
      <c r="M24" s="24">
        <f t="shared" si="0"/>
        <v>1</v>
      </c>
    </row>
    <row r="25" spans="1:15" ht="16.649999999999999" customHeight="1" x14ac:dyDescent="0.3">
      <c r="A25" s="8">
        <f t="shared" si="13"/>
        <v>20</v>
      </c>
      <c r="B25" s="8" t="s">
        <v>21</v>
      </c>
      <c r="C25" s="36">
        <v>4000</v>
      </c>
      <c r="D25" s="36">
        <v>1515.2901024748771</v>
      </c>
      <c r="E25" s="36">
        <v>2484.7098975251229</v>
      </c>
      <c r="F25" s="22">
        <v>2000</v>
      </c>
      <c r="G25" s="27">
        <f>'[1]CHEQUES OPS'!$T$183</f>
        <v>0</v>
      </c>
      <c r="H25" s="23">
        <f t="shared" si="1"/>
        <v>0</v>
      </c>
      <c r="I25" s="22">
        <f t="shared" si="10"/>
        <v>2000</v>
      </c>
      <c r="J25" s="24">
        <f t="shared" si="11"/>
        <v>1</v>
      </c>
      <c r="K25" s="22">
        <f t="shared" si="9"/>
        <v>2000</v>
      </c>
      <c r="L25" s="25">
        <f t="shared" si="12"/>
        <v>0</v>
      </c>
      <c r="M25" s="24">
        <f t="shared" si="0"/>
        <v>1</v>
      </c>
    </row>
    <row r="26" spans="1:15" ht="16.649999999999999" customHeight="1" x14ac:dyDescent="0.3">
      <c r="A26" s="8">
        <f t="shared" si="13"/>
        <v>21</v>
      </c>
      <c r="B26" s="8" t="s">
        <v>22</v>
      </c>
      <c r="C26" s="36">
        <v>2000</v>
      </c>
      <c r="D26" s="36">
        <v>971.35178166137564</v>
      </c>
      <c r="E26" s="36">
        <v>1028.6482183386242</v>
      </c>
      <c r="F26" s="22">
        <v>2000</v>
      </c>
      <c r="G26" s="22">
        <v>1066</v>
      </c>
      <c r="H26" s="23">
        <f t="shared" si="1"/>
        <v>0.53300000000000003</v>
      </c>
      <c r="I26" s="22">
        <f t="shared" si="10"/>
        <v>934</v>
      </c>
      <c r="J26" s="24">
        <f t="shared" si="11"/>
        <v>0.46700000000000003</v>
      </c>
      <c r="K26" s="22">
        <f t="shared" si="9"/>
        <v>2000</v>
      </c>
      <c r="L26" s="25">
        <f t="shared" si="12"/>
        <v>0</v>
      </c>
      <c r="M26" s="24">
        <f t="shared" si="0"/>
        <v>1</v>
      </c>
    </row>
    <row r="27" spans="1:15" ht="30.75" customHeight="1" x14ac:dyDescent="0.3">
      <c r="A27" s="8">
        <f t="shared" si="13"/>
        <v>22</v>
      </c>
      <c r="B27" s="10" t="s">
        <v>72</v>
      </c>
      <c r="C27" s="36">
        <v>10000</v>
      </c>
      <c r="D27" s="38">
        <v>10035.931026492879</v>
      </c>
      <c r="E27" s="36">
        <v>-35.931026492879028</v>
      </c>
      <c r="F27" s="22">
        <v>12000</v>
      </c>
      <c r="G27" s="22">
        <f>'[1]CHEQUES OPS'!$J$183*8/13</f>
        <v>7000.4064875158365</v>
      </c>
      <c r="H27" s="23">
        <f t="shared" si="1"/>
        <v>0.58336720729298641</v>
      </c>
      <c r="I27" s="22">
        <f t="shared" si="10"/>
        <v>4999.5935124841635</v>
      </c>
      <c r="J27" s="24">
        <f t="shared" si="11"/>
        <v>0.41663279270701364</v>
      </c>
      <c r="K27" s="22">
        <f t="shared" si="9"/>
        <v>12000</v>
      </c>
      <c r="L27" s="25">
        <f t="shared" si="12"/>
        <v>0</v>
      </c>
      <c r="M27" s="24">
        <f t="shared" si="0"/>
        <v>1</v>
      </c>
    </row>
    <row r="28" spans="1:15" ht="16.649999999999999" customHeight="1" x14ac:dyDescent="0.3">
      <c r="A28" s="8">
        <f t="shared" si="13"/>
        <v>23</v>
      </c>
      <c r="B28" s="8" t="s">
        <v>23</v>
      </c>
      <c r="C28" s="36">
        <v>25000</v>
      </c>
      <c r="D28" s="36">
        <v>24777.610394131556</v>
      </c>
      <c r="E28" s="36">
        <v>222.38960586844405</v>
      </c>
      <c r="F28" s="22">
        <v>25000</v>
      </c>
      <c r="G28" s="22">
        <f>('[1]CHEQUES OPS'!$K$183*8/13+'[1]CHEQUES OPS'!$L$183*8/13+'[1]CHEQUES OPS'!$S$183+'[1]USD OP'!$N$75)-4000</f>
        <v>13168.076951488853</v>
      </c>
      <c r="H28" s="23">
        <f t="shared" si="1"/>
        <v>0.5267230780595541</v>
      </c>
      <c r="I28" s="22">
        <f t="shared" si="10"/>
        <v>11831.923048511147</v>
      </c>
      <c r="J28" s="24">
        <f t="shared" si="11"/>
        <v>0.4732769219404459</v>
      </c>
      <c r="K28" s="22">
        <f t="shared" si="9"/>
        <v>25000</v>
      </c>
      <c r="L28" s="25">
        <f t="shared" si="12"/>
        <v>0</v>
      </c>
      <c r="M28" s="24">
        <f t="shared" si="0"/>
        <v>1</v>
      </c>
      <c r="O28" s="40"/>
    </row>
    <row r="29" spans="1:15" ht="16.649999999999999" customHeight="1" x14ac:dyDescent="0.3">
      <c r="A29" s="8">
        <f t="shared" si="13"/>
        <v>24</v>
      </c>
      <c r="B29" s="8" t="s">
        <v>24</v>
      </c>
      <c r="C29" s="36">
        <v>3000</v>
      </c>
      <c r="D29" s="36">
        <v>2276.6813543407907</v>
      </c>
      <c r="E29" s="36">
        <v>723.31864565920932</v>
      </c>
      <c r="F29" s="22">
        <v>5000</v>
      </c>
      <c r="G29" s="22">
        <f>'[1]CHEQUES OPS'!$M$183</f>
        <v>2402.0377123798326</v>
      </c>
      <c r="H29" s="23">
        <f t="shared" si="1"/>
        <v>0.48040754247596651</v>
      </c>
      <c r="I29" s="22">
        <f t="shared" si="10"/>
        <v>2597.9622876201674</v>
      </c>
      <c r="J29" s="24">
        <f t="shared" si="11"/>
        <v>0.51959245752403349</v>
      </c>
      <c r="K29" s="22">
        <f t="shared" si="9"/>
        <v>5000</v>
      </c>
      <c r="L29" s="25">
        <f t="shared" si="12"/>
        <v>0</v>
      </c>
      <c r="M29" s="24">
        <f t="shared" si="0"/>
        <v>1</v>
      </c>
      <c r="O29" s="40"/>
    </row>
    <row r="30" spans="1:15" ht="16.649999999999999" customHeight="1" x14ac:dyDescent="0.3">
      <c r="A30" s="8">
        <f t="shared" si="13"/>
        <v>25</v>
      </c>
      <c r="B30" s="8" t="s">
        <v>25</v>
      </c>
      <c r="C30" s="36">
        <v>1500</v>
      </c>
      <c r="D30" s="36">
        <v>599.6712114002097</v>
      </c>
      <c r="E30" s="36">
        <v>900.3287885997903</v>
      </c>
      <c r="F30" s="22">
        <v>1500</v>
      </c>
      <c r="G30" s="22">
        <f>'[1]CHEQUES OPS'!$P$183</f>
        <v>1099.7327094414713</v>
      </c>
      <c r="H30" s="23">
        <f t="shared" si="1"/>
        <v>0.73315513962764756</v>
      </c>
      <c r="I30" s="22">
        <f t="shared" si="10"/>
        <v>400.26729055852866</v>
      </c>
      <c r="J30" s="24">
        <f t="shared" si="11"/>
        <v>0.26684486037235244</v>
      </c>
      <c r="K30" s="22">
        <f t="shared" si="9"/>
        <v>1500</v>
      </c>
      <c r="L30" s="25">
        <f t="shared" si="12"/>
        <v>0</v>
      </c>
      <c r="M30" s="24">
        <f t="shared" si="0"/>
        <v>1</v>
      </c>
    </row>
    <row r="31" spans="1:15" ht="16.649999999999999" customHeight="1" x14ac:dyDescent="0.3">
      <c r="A31" s="8">
        <f t="shared" si="13"/>
        <v>26</v>
      </c>
      <c r="B31" s="8" t="s">
        <v>39</v>
      </c>
      <c r="C31" s="36">
        <v>1500</v>
      </c>
      <c r="D31" s="36">
        <v>1403.6126678703779</v>
      </c>
      <c r="E31" s="36">
        <v>96.387332129622109</v>
      </c>
      <c r="F31" s="22">
        <v>1500</v>
      </c>
      <c r="G31" s="22">
        <f>'[1]CHEQUES OPS'!$O$183</f>
        <v>744.34753941735494</v>
      </c>
      <c r="H31" s="23">
        <f t="shared" si="1"/>
        <v>0.49623169294490327</v>
      </c>
      <c r="I31" s="22">
        <f t="shared" si="10"/>
        <v>755.65246058264506</v>
      </c>
      <c r="J31" s="24">
        <f t="shared" si="11"/>
        <v>0.50376830705509668</v>
      </c>
      <c r="K31" s="22">
        <f t="shared" si="9"/>
        <v>1500</v>
      </c>
      <c r="L31" s="25">
        <f t="shared" si="12"/>
        <v>0</v>
      </c>
      <c r="M31" s="24">
        <f t="shared" si="0"/>
        <v>1</v>
      </c>
    </row>
    <row r="32" spans="1:15" ht="16.649999999999999" customHeight="1" x14ac:dyDescent="0.3">
      <c r="A32" s="8">
        <f t="shared" si="13"/>
        <v>27</v>
      </c>
      <c r="B32" s="8" t="s">
        <v>26</v>
      </c>
      <c r="C32" s="36">
        <v>7000</v>
      </c>
      <c r="D32" s="36">
        <v>3500</v>
      </c>
      <c r="E32" s="36">
        <v>3500</v>
      </c>
      <c r="F32" s="22">
        <v>7000</v>
      </c>
      <c r="G32" s="22">
        <f>'[1]CHEQUES OPS'!$AJ$183+'[1]USD OP'!$Q$75</f>
        <v>0</v>
      </c>
      <c r="H32" s="23">
        <f t="shared" si="1"/>
        <v>0</v>
      </c>
      <c r="I32" s="22">
        <f t="shared" si="10"/>
        <v>7000</v>
      </c>
      <c r="J32" s="24">
        <f t="shared" si="11"/>
        <v>1</v>
      </c>
      <c r="K32" s="22">
        <f t="shared" si="9"/>
        <v>7000</v>
      </c>
      <c r="L32" s="25">
        <f t="shared" si="12"/>
        <v>0</v>
      </c>
      <c r="M32" s="24">
        <f t="shared" si="0"/>
        <v>1</v>
      </c>
    </row>
    <row r="33" spans="1:13" ht="16.649999999999999" customHeight="1" x14ac:dyDescent="0.3">
      <c r="A33" s="8">
        <f t="shared" si="13"/>
        <v>28</v>
      </c>
      <c r="B33" s="8" t="s">
        <v>27</v>
      </c>
      <c r="C33" s="36">
        <v>1500</v>
      </c>
      <c r="D33" s="36">
        <v>1145.6702449408917</v>
      </c>
      <c r="E33" s="36">
        <v>354.32975505910827</v>
      </c>
      <c r="F33" s="22">
        <v>1500</v>
      </c>
      <c r="G33" s="22">
        <f>'[1]CHEQUES OPS'!$AB$183+'[1]USD OP'!$H$75</f>
        <v>352.38351043595912</v>
      </c>
      <c r="H33" s="23">
        <f t="shared" si="1"/>
        <v>0.23492234029063941</v>
      </c>
      <c r="I33" s="22">
        <f t="shared" si="10"/>
        <v>1147.6164895640409</v>
      </c>
      <c r="J33" s="24">
        <f t="shared" si="11"/>
        <v>0.76507765970936059</v>
      </c>
      <c r="K33" s="22">
        <f t="shared" si="9"/>
        <v>1500</v>
      </c>
      <c r="L33" s="25">
        <f t="shared" si="12"/>
        <v>0</v>
      </c>
      <c r="M33" s="24">
        <f t="shared" si="0"/>
        <v>1</v>
      </c>
    </row>
    <row r="34" spans="1:13" ht="16.649999999999999" customHeight="1" x14ac:dyDescent="0.3">
      <c r="A34" s="8">
        <f t="shared" si="13"/>
        <v>29</v>
      </c>
      <c r="B34" s="10" t="s">
        <v>28</v>
      </c>
      <c r="C34" s="36">
        <v>10000</v>
      </c>
      <c r="D34" s="36">
        <v>8476.7111024135356</v>
      </c>
      <c r="E34" s="36">
        <v>1523.2888975864644</v>
      </c>
      <c r="F34" s="22">
        <v>10000</v>
      </c>
      <c r="G34" s="22">
        <f>'[1]CHEQUES OPS'!$Z$183</f>
        <v>2276.9832222500372</v>
      </c>
      <c r="H34" s="23">
        <f t="shared" si="1"/>
        <v>0.22769832222500372</v>
      </c>
      <c r="I34" s="22">
        <f t="shared" si="10"/>
        <v>7723.0167777499628</v>
      </c>
      <c r="J34" s="24">
        <f t="shared" si="11"/>
        <v>0.77230167777499625</v>
      </c>
      <c r="K34" s="22">
        <f t="shared" si="9"/>
        <v>10000</v>
      </c>
      <c r="L34" s="25">
        <f t="shared" si="12"/>
        <v>0</v>
      </c>
      <c r="M34" s="24">
        <f t="shared" si="0"/>
        <v>1</v>
      </c>
    </row>
    <row r="35" spans="1:13" ht="16.649999999999999" customHeight="1" x14ac:dyDescent="0.3">
      <c r="A35" s="9"/>
      <c r="B35" s="9" t="s">
        <v>29</v>
      </c>
      <c r="C35" s="37">
        <v>205100</v>
      </c>
      <c r="D35" s="37">
        <v>177138.02748363797</v>
      </c>
      <c r="E35" s="37">
        <v>27961.972516362053</v>
      </c>
      <c r="F35" s="18">
        <v>220500</v>
      </c>
      <c r="G35" s="18">
        <f>SUM(G13:G34)</f>
        <v>75298.631837053748</v>
      </c>
      <c r="H35" s="23">
        <f t="shared" si="1"/>
        <v>0.34149039381883783</v>
      </c>
      <c r="I35" s="18">
        <f>SUM(I13:I34)</f>
        <v>145201.36816294625</v>
      </c>
      <c r="J35" s="24">
        <f t="shared" si="11"/>
        <v>0.65850960618116217</v>
      </c>
      <c r="K35" s="18">
        <f>SUM(K13:K34)</f>
        <v>220500</v>
      </c>
      <c r="L35" s="25">
        <f t="shared" si="12"/>
        <v>0</v>
      </c>
      <c r="M35" s="24">
        <f t="shared" si="0"/>
        <v>1</v>
      </c>
    </row>
    <row r="36" spans="1:13" ht="16.649999999999999" customHeight="1" x14ac:dyDescent="0.3">
      <c r="A36" s="9"/>
      <c r="B36" s="9" t="s">
        <v>34</v>
      </c>
      <c r="C36" s="37">
        <v>921108.04999999993</v>
      </c>
      <c r="D36" s="37">
        <v>701046.72748363798</v>
      </c>
      <c r="E36" s="37">
        <v>220061.32251636204</v>
      </c>
      <c r="F36" s="18">
        <v>956770.71</v>
      </c>
      <c r="G36" s="18">
        <f>G12+G35</f>
        <v>403408.70183705376</v>
      </c>
      <c r="H36" s="23">
        <f t="shared" si="1"/>
        <v>0.42163571440962461</v>
      </c>
      <c r="I36" s="18">
        <f>I12+I35</f>
        <v>553362.00816294621</v>
      </c>
      <c r="J36" s="24">
        <f t="shared" si="11"/>
        <v>0.57836428559037534</v>
      </c>
      <c r="K36" s="18">
        <f>K12+K35</f>
        <v>956770.71</v>
      </c>
      <c r="L36" s="25">
        <f t="shared" si="12"/>
        <v>0</v>
      </c>
      <c r="M36" s="24">
        <f t="shared" si="0"/>
        <v>1</v>
      </c>
    </row>
    <row r="37" spans="1:13" ht="17.399999999999999" x14ac:dyDescent="0.3">
      <c r="A37" s="4"/>
      <c r="B37" s="4"/>
      <c r="C37" s="1"/>
      <c r="D37" s="1"/>
      <c r="E37" s="1"/>
      <c r="F37" s="5"/>
      <c r="G37" s="5"/>
      <c r="I37" s="5"/>
      <c r="J37" s="11"/>
      <c r="K37" s="5"/>
      <c r="L37" s="14"/>
      <c r="M37" s="11"/>
    </row>
    <row r="38" spans="1:13" x14ac:dyDescent="0.3">
      <c r="A38" s="4"/>
      <c r="B38" s="4"/>
      <c r="C38" s="5"/>
      <c r="D38" s="5"/>
      <c r="E38" s="5"/>
      <c r="G38" s="5"/>
      <c r="I38" s="5"/>
      <c r="J38" s="11"/>
      <c r="K38" s="5"/>
      <c r="L38" s="14"/>
      <c r="M38" s="11"/>
    </row>
  </sheetData>
  <pageMargins left="0.7" right="0.7" top="0.75" bottom="0.75" header="0.3" footer="0.3"/>
  <pageSetup paperSize="9" scale="7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workbookViewId="0">
      <selection activeCell="K15" sqref="K15"/>
    </sheetView>
  </sheetViews>
  <sheetFormatPr defaultRowHeight="14.4" x14ac:dyDescent="0.3"/>
  <cols>
    <col min="1" max="1" width="6.88671875" style="2" customWidth="1"/>
    <col min="2" max="2" width="28.33203125" style="2" customWidth="1"/>
    <col min="3" max="3" width="10.5546875" style="3" customWidth="1"/>
    <col min="4" max="4" width="12.88671875" style="3" customWidth="1"/>
    <col min="5" max="5" width="8.6640625" style="11" customWidth="1"/>
    <col min="6" max="6" width="13.5546875" style="3" customWidth="1"/>
    <col min="7" max="7" width="7.44140625" style="12" customWidth="1"/>
    <col min="8" max="8" width="12.5546875" style="3" customWidth="1"/>
    <col min="9" max="9" width="67" style="41" customWidth="1"/>
    <col min="10" max="10" width="10.5546875" bestFit="1" customWidth="1"/>
  </cols>
  <sheetData>
    <row r="1" spans="1:9" x14ac:dyDescent="0.3">
      <c r="B1" s="2" t="s">
        <v>75</v>
      </c>
    </row>
    <row r="2" spans="1:9" x14ac:dyDescent="0.3">
      <c r="A2" s="32"/>
      <c r="B2" s="4" t="s">
        <v>44</v>
      </c>
      <c r="C2" s="5"/>
      <c r="D2" s="5"/>
      <c r="F2" s="5"/>
      <c r="G2" s="11"/>
      <c r="H2" s="5"/>
    </row>
    <row r="3" spans="1:9" ht="42" x14ac:dyDescent="0.3">
      <c r="A3" s="6" t="s">
        <v>33</v>
      </c>
      <c r="B3" s="6" t="s">
        <v>0</v>
      </c>
      <c r="C3" s="15" t="s">
        <v>38</v>
      </c>
      <c r="D3" s="15" t="s">
        <v>45</v>
      </c>
      <c r="E3" s="39" t="s">
        <v>42</v>
      </c>
      <c r="F3" s="15" t="s">
        <v>46</v>
      </c>
      <c r="G3" s="16" t="s">
        <v>32</v>
      </c>
      <c r="H3" s="15" t="s">
        <v>43</v>
      </c>
      <c r="I3" s="6" t="s">
        <v>47</v>
      </c>
    </row>
    <row r="4" spans="1:9" x14ac:dyDescent="0.3">
      <c r="A4" s="7"/>
      <c r="B4" s="7"/>
      <c r="C4" s="19" t="s">
        <v>1</v>
      </c>
      <c r="D4" s="19" t="s">
        <v>1</v>
      </c>
      <c r="E4" s="20" t="s">
        <v>2</v>
      </c>
      <c r="F4" s="19" t="s">
        <v>1</v>
      </c>
      <c r="G4" s="20" t="s">
        <v>2</v>
      </c>
      <c r="H4" s="19" t="s">
        <v>1</v>
      </c>
      <c r="I4" s="43" t="s">
        <v>48</v>
      </c>
    </row>
    <row r="5" spans="1:9" x14ac:dyDescent="0.3">
      <c r="A5" s="8">
        <v>1</v>
      </c>
      <c r="B5" s="8" t="s">
        <v>3</v>
      </c>
      <c r="C5" s="22">
        <v>339415</v>
      </c>
      <c r="D5" s="22">
        <f>'[1]STAFF COSTS'!$E$45-'[1]STAFF COSTS'!$E$38</f>
        <v>149600.12000000002</v>
      </c>
      <c r="E5" s="23">
        <f>D5/C5</f>
        <v>0.44075871720460214</v>
      </c>
      <c r="F5" s="18">
        <f>C5-D5</f>
        <v>189814.87999999998</v>
      </c>
      <c r="G5" s="24">
        <f>F5/C5</f>
        <v>0.55924128279539786</v>
      </c>
      <c r="H5" s="22">
        <f>D5+F5</f>
        <v>339415</v>
      </c>
      <c r="I5" s="43"/>
    </row>
    <row r="6" spans="1:9" x14ac:dyDescent="0.3">
      <c r="A6" s="8">
        <f>A5+1</f>
        <v>2</v>
      </c>
      <c r="B6" s="8" t="s">
        <v>4</v>
      </c>
      <c r="C6" s="22">
        <v>77175</v>
      </c>
      <c r="D6" s="22">
        <f>'[1]STAFF COSTS'!$F$45</f>
        <v>36227.170000000006</v>
      </c>
      <c r="E6" s="23">
        <f t="shared" ref="E6:E36" si="0">D6/C6</f>
        <v>0.46941587301587306</v>
      </c>
      <c r="F6" s="18">
        <f t="shared" ref="F6:F11" si="1">C6-D6</f>
        <v>40947.829999999994</v>
      </c>
      <c r="G6" s="24">
        <f t="shared" ref="G6:G11" si="2">F6/C6</f>
        <v>0.53058412698412694</v>
      </c>
      <c r="H6" s="22">
        <f>D6+F6</f>
        <v>77175</v>
      </c>
      <c r="I6" s="43"/>
    </row>
    <row r="7" spans="1:9" x14ac:dyDescent="0.3">
      <c r="A7" s="8">
        <f t="shared" ref="A7:A11" si="3">A6+1</f>
        <v>3</v>
      </c>
      <c r="B7" s="8" t="s">
        <v>5</v>
      </c>
      <c r="C7" s="22">
        <v>144841.96000000002</v>
      </c>
      <c r="D7" s="22">
        <f>'[1]STAFF COSTS'!$G$45</f>
        <v>74401.97</v>
      </c>
      <c r="E7" s="23">
        <f t="shared" si="0"/>
        <v>0.5136769068852699</v>
      </c>
      <c r="F7" s="18">
        <f t="shared" si="1"/>
        <v>70439.99000000002</v>
      </c>
      <c r="G7" s="24">
        <f t="shared" si="2"/>
        <v>0.4863230931147301</v>
      </c>
      <c r="H7" s="22">
        <f>D7+F7</f>
        <v>144841.96000000002</v>
      </c>
      <c r="I7" s="43"/>
    </row>
    <row r="8" spans="1:9" x14ac:dyDescent="0.3">
      <c r="A8" s="8">
        <f t="shared" si="3"/>
        <v>4</v>
      </c>
      <c r="B8" s="8" t="s">
        <v>6</v>
      </c>
      <c r="C8" s="22">
        <v>6079</v>
      </c>
      <c r="D8" s="22">
        <f>'[1]STAFF COSTS'!$I$45</f>
        <v>2271.08</v>
      </c>
      <c r="E8" s="23">
        <f t="shared" si="0"/>
        <v>0.37359434117453527</v>
      </c>
      <c r="F8" s="18">
        <f t="shared" si="1"/>
        <v>3807.92</v>
      </c>
      <c r="G8" s="24">
        <f t="shared" si="2"/>
        <v>0.62640565882546473</v>
      </c>
      <c r="H8" s="22">
        <f>D8+F8</f>
        <v>6079</v>
      </c>
      <c r="I8" s="43"/>
    </row>
    <row r="9" spans="1:9" x14ac:dyDescent="0.3">
      <c r="A9" s="8">
        <f t="shared" si="3"/>
        <v>5</v>
      </c>
      <c r="B9" s="8" t="s">
        <v>7</v>
      </c>
      <c r="C9" s="22">
        <v>62405.749999999993</v>
      </c>
      <c r="D9" s="22">
        <f>'[1]STAFF COSTS'!$H$45</f>
        <v>28928.76</v>
      </c>
      <c r="E9" s="23">
        <f t="shared" si="0"/>
        <v>0.46355920728458516</v>
      </c>
      <c r="F9" s="18">
        <f t="shared" si="1"/>
        <v>33476.989999999991</v>
      </c>
      <c r="G9" s="24">
        <f t="shared" si="2"/>
        <v>0.53644079271541478</v>
      </c>
      <c r="H9" s="22">
        <f>D9+F9</f>
        <v>62405.749999999985</v>
      </c>
      <c r="I9" s="43"/>
    </row>
    <row r="10" spans="1:9" x14ac:dyDescent="0.3">
      <c r="A10" s="8">
        <f t="shared" si="3"/>
        <v>6</v>
      </c>
      <c r="B10" s="8" t="s">
        <v>8</v>
      </c>
      <c r="C10" s="22">
        <v>33750</v>
      </c>
      <c r="D10" s="22">
        <f>'[1]STAFF COSTS'!$K$45</f>
        <v>4966.16</v>
      </c>
      <c r="E10" s="23">
        <f t="shared" si="0"/>
        <v>0.14714548148148149</v>
      </c>
      <c r="F10" s="18">
        <f t="shared" si="1"/>
        <v>28783.84</v>
      </c>
      <c r="G10" s="24">
        <f t="shared" si="2"/>
        <v>0.85285451851851857</v>
      </c>
      <c r="H10" s="22">
        <v>33750</v>
      </c>
      <c r="I10" s="43"/>
    </row>
    <row r="11" spans="1:9" x14ac:dyDescent="0.3">
      <c r="A11" s="8">
        <f t="shared" si="3"/>
        <v>7</v>
      </c>
      <c r="B11" s="8" t="s">
        <v>9</v>
      </c>
      <c r="C11" s="22">
        <v>72604</v>
      </c>
      <c r="D11" s="22">
        <f>'[1]STAFF COSTS'!$J$45+7000</f>
        <v>31714.81</v>
      </c>
      <c r="E11" s="23">
        <f t="shared" si="0"/>
        <v>0.4368190457826015</v>
      </c>
      <c r="F11" s="18">
        <f t="shared" si="1"/>
        <v>40889.19</v>
      </c>
      <c r="G11" s="24">
        <f t="shared" si="2"/>
        <v>0.56318095421739855</v>
      </c>
      <c r="H11" s="22">
        <f>D11+F11</f>
        <v>72604</v>
      </c>
      <c r="I11" s="43"/>
    </row>
    <row r="12" spans="1:9" x14ac:dyDescent="0.3">
      <c r="A12" s="9"/>
      <c r="B12" s="9" t="s">
        <v>10</v>
      </c>
      <c r="C12" s="18">
        <v>736270.71</v>
      </c>
      <c r="D12" s="18">
        <f t="shared" ref="D12" si="4">SUM(D5:D11)</f>
        <v>328110.07</v>
      </c>
      <c r="E12" s="23">
        <f t="shared" si="0"/>
        <v>0.44563781438487488</v>
      </c>
      <c r="F12" s="18">
        <f t="shared" ref="F12" si="5">SUM(F5:F11)</f>
        <v>408160.63999999996</v>
      </c>
      <c r="G12" s="23">
        <f>F12/C12</f>
        <v>0.55436218561512518</v>
      </c>
      <c r="H12" s="18">
        <f t="shared" ref="H12" si="6">SUM(H5:H11)</f>
        <v>736270.71</v>
      </c>
      <c r="I12" s="43"/>
    </row>
    <row r="13" spans="1:9" x14ac:dyDescent="0.3">
      <c r="A13" s="8">
        <v>8</v>
      </c>
      <c r="B13" s="8" t="s">
        <v>11</v>
      </c>
      <c r="C13" s="22">
        <v>15000</v>
      </c>
      <c r="D13" s="22">
        <f>'[1]USD OP'!$M$75</f>
        <v>5770</v>
      </c>
      <c r="E13" s="23">
        <f t="shared" si="0"/>
        <v>0.38466666666666666</v>
      </c>
      <c r="F13" s="18">
        <f>C13-D13</f>
        <v>9230</v>
      </c>
      <c r="G13" s="24">
        <f>F13/C13</f>
        <v>0.61533333333333329</v>
      </c>
      <c r="H13" s="22">
        <f t="shared" ref="H13:H34" si="7">D13+F13</f>
        <v>15000</v>
      </c>
      <c r="I13" s="8" t="s">
        <v>49</v>
      </c>
    </row>
    <row r="14" spans="1:9" x14ac:dyDescent="0.3">
      <c r="A14" s="8">
        <f>A13+1</f>
        <v>9</v>
      </c>
      <c r="B14" s="8" t="s">
        <v>12</v>
      </c>
      <c r="C14" s="22">
        <v>5000</v>
      </c>
      <c r="D14" s="22">
        <f>'[1]CHEQUES OPS'!$AA$183+'[1]USD OP'!$J$75</f>
        <v>4920.1163707317219</v>
      </c>
      <c r="E14" s="23">
        <f t="shared" si="0"/>
        <v>0.98402327414634438</v>
      </c>
      <c r="F14" s="18">
        <f t="shared" ref="F14:F34" si="8">C14-D14</f>
        <v>79.883629268278128</v>
      </c>
      <c r="G14" s="24">
        <f t="shared" ref="G14:G36" si="9">F14/C14</f>
        <v>1.5976725853655626E-2</v>
      </c>
      <c r="H14" s="22">
        <f t="shared" si="7"/>
        <v>5000</v>
      </c>
      <c r="I14" s="8" t="s">
        <v>50</v>
      </c>
    </row>
    <row r="15" spans="1:9" ht="42" x14ac:dyDescent="0.3">
      <c r="A15" s="8">
        <f t="shared" ref="A15:A34" si="10">A14+1</f>
        <v>10</v>
      </c>
      <c r="B15" s="8" t="s">
        <v>13</v>
      </c>
      <c r="C15" s="22">
        <v>5000</v>
      </c>
      <c r="D15" s="22">
        <f>'[1]CHEQUES OPS'!$R$183+'[1]USD OP'!$R$75</f>
        <v>1348.7096705937643</v>
      </c>
      <c r="E15" s="23">
        <f t="shared" si="0"/>
        <v>0.26974193411875286</v>
      </c>
      <c r="F15" s="18">
        <f t="shared" si="8"/>
        <v>3651.2903294062357</v>
      </c>
      <c r="G15" s="24">
        <f t="shared" si="9"/>
        <v>0.7302580658812472</v>
      </c>
      <c r="H15" s="22">
        <f t="shared" si="7"/>
        <v>5000</v>
      </c>
      <c r="I15" s="10" t="s">
        <v>51</v>
      </c>
    </row>
    <row r="16" spans="1:9" ht="28.2" x14ac:dyDescent="0.3">
      <c r="A16" s="8">
        <f t="shared" si="10"/>
        <v>11</v>
      </c>
      <c r="B16" s="10" t="s">
        <v>36</v>
      </c>
      <c r="C16" s="22">
        <v>50000</v>
      </c>
      <c r="D16" s="22">
        <f>'[1]CHEQUES OPS'!$W$183+'[1]USD OP'!$G$75</f>
        <v>13507.479201977614</v>
      </c>
      <c r="E16" s="23">
        <f t="shared" si="0"/>
        <v>0.2701495840395523</v>
      </c>
      <c r="F16" s="18">
        <f t="shared" si="8"/>
        <v>36492.520798022386</v>
      </c>
      <c r="G16" s="24">
        <f t="shared" si="9"/>
        <v>0.72985041596044775</v>
      </c>
      <c r="H16" s="22">
        <f t="shared" si="7"/>
        <v>50000</v>
      </c>
      <c r="I16" s="10" t="s">
        <v>52</v>
      </c>
    </row>
    <row r="17" spans="1:10" ht="18.75" customHeight="1" x14ac:dyDescent="0.3">
      <c r="A17" s="8">
        <f t="shared" si="10"/>
        <v>12</v>
      </c>
      <c r="B17" s="10" t="s">
        <v>37</v>
      </c>
      <c r="C17" s="22">
        <v>5000</v>
      </c>
      <c r="D17" s="22">
        <v>3000</v>
      </c>
      <c r="E17" s="23">
        <f t="shared" si="0"/>
        <v>0.6</v>
      </c>
      <c r="F17" s="18">
        <f t="shared" si="8"/>
        <v>2000</v>
      </c>
      <c r="G17" s="24">
        <f t="shared" si="9"/>
        <v>0.4</v>
      </c>
      <c r="H17" s="22">
        <f t="shared" si="7"/>
        <v>5000</v>
      </c>
      <c r="I17" s="10" t="s">
        <v>53</v>
      </c>
    </row>
    <row r="18" spans="1:10" ht="28.2" x14ac:dyDescent="0.3">
      <c r="A18" s="8">
        <f t="shared" si="10"/>
        <v>13</v>
      </c>
      <c r="B18" s="8" t="s">
        <v>14</v>
      </c>
      <c r="C18" s="22">
        <v>8000</v>
      </c>
      <c r="D18" s="22">
        <f>'[1]CHEQUES OPS'!$AD$183+'[1]USD OP'!$P$75+3000</f>
        <v>4269.9620692460621</v>
      </c>
      <c r="E18" s="23">
        <f t="shared" si="0"/>
        <v>0.53374525865575773</v>
      </c>
      <c r="F18" s="18">
        <f t="shared" si="8"/>
        <v>3730.0379307539379</v>
      </c>
      <c r="G18" s="24">
        <f t="shared" si="9"/>
        <v>0.46625474134424222</v>
      </c>
      <c r="H18" s="22">
        <f t="shared" si="7"/>
        <v>8000</v>
      </c>
      <c r="I18" s="42" t="s">
        <v>54</v>
      </c>
    </row>
    <row r="19" spans="1:10" ht="28.5" customHeight="1" x14ac:dyDescent="0.3">
      <c r="A19" s="8">
        <f t="shared" si="10"/>
        <v>14</v>
      </c>
      <c r="B19" s="8" t="s">
        <v>15</v>
      </c>
      <c r="C19" s="22">
        <v>8000</v>
      </c>
      <c r="D19" s="27">
        <f>'[1]CHEQUES OPS'!$N$183+'[1]CHEQUES OPS'!$X$183+2000</f>
        <v>2830.8049270917895</v>
      </c>
      <c r="E19" s="23">
        <f t="shared" si="0"/>
        <v>0.35385061588647371</v>
      </c>
      <c r="F19" s="18">
        <f t="shared" si="8"/>
        <v>5169.1950729082109</v>
      </c>
      <c r="G19" s="24">
        <f t="shared" si="9"/>
        <v>0.6461493841135264</v>
      </c>
      <c r="H19" s="22">
        <f t="shared" si="7"/>
        <v>8000</v>
      </c>
      <c r="I19" s="10" t="s">
        <v>55</v>
      </c>
    </row>
    <row r="20" spans="1:10" ht="28.2" x14ac:dyDescent="0.3">
      <c r="A20" s="8">
        <f t="shared" si="10"/>
        <v>15</v>
      </c>
      <c r="B20" s="10" t="s">
        <v>16</v>
      </c>
      <c r="C20" s="22">
        <v>5000</v>
      </c>
      <c r="D20" s="22">
        <f>'[1]CHEQUES OPS'!$AH$183+'[1]USD OP'!$P$75</f>
        <v>1735.3493720015572</v>
      </c>
      <c r="E20" s="23">
        <f t="shared" si="0"/>
        <v>0.34706987440031145</v>
      </c>
      <c r="F20" s="18">
        <f t="shared" si="8"/>
        <v>3264.6506279984428</v>
      </c>
      <c r="G20" s="24">
        <f t="shared" si="9"/>
        <v>0.65293012559968855</v>
      </c>
      <c r="H20" s="22">
        <f t="shared" si="7"/>
        <v>5000</v>
      </c>
      <c r="I20" s="10" t="s">
        <v>56</v>
      </c>
    </row>
    <row r="21" spans="1:10" x14ac:dyDescent="0.3">
      <c r="A21" s="8">
        <f t="shared" si="10"/>
        <v>16</v>
      </c>
      <c r="B21" s="8" t="s">
        <v>17</v>
      </c>
      <c r="C21" s="22">
        <v>30000</v>
      </c>
      <c r="D21" s="22">
        <f>'[1]CHEQUES OPS'!$AC$183+'[1]USD OP'!$K$75</f>
        <v>0</v>
      </c>
      <c r="E21" s="23">
        <f t="shared" si="0"/>
        <v>0</v>
      </c>
      <c r="F21" s="18">
        <f t="shared" si="8"/>
        <v>30000</v>
      </c>
      <c r="G21" s="24">
        <f t="shared" si="9"/>
        <v>1</v>
      </c>
      <c r="H21" s="22">
        <f t="shared" si="7"/>
        <v>30000</v>
      </c>
      <c r="I21" s="10" t="s">
        <v>57</v>
      </c>
    </row>
    <row r="22" spans="1:10" ht="42" x14ac:dyDescent="0.3">
      <c r="A22" s="8">
        <f t="shared" si="10"/>
        <v>17</v>
      </c>
      <c r="B22" s="8" t="s">
        <v>18</v>
      </c>
      <c r="C22" s="22">
        <v>7000</v>
      </c>
      <c r="D22" s="22">
        <f>'[1]USD OP'!$O$75</f>
        <v>0</v>
      </c>
      <c r="E22" s="23">
        <f t="shared" si="0"/>
        <v>0</v>
      </c>
      <c r="F22" s="18">
        <f t="shared" si="8"/>
        <v>7000</v>
      </c>
      <c r="G22" s="24">
        <f t="shared" si="9"/>
        <v>1</v>
      </c>
      <c r="H22" s="22">
        <f t="shared" si="7"/>
        <v>7000</v>
      </c>
      <c r="I22" s="10" t="s">
        <v>58</v>
      </c>
    </row>
    <row r="23" spans="1:10" x14ac:dyDescent="0.3">
      <c r="A23" s="8">
        <f t="shared" si="10"/>
        <v>18</v>
      </c>
      <c r="B23" s="8" t="s">
        <v>19</v>
      </c>
      <c r="C23" s="22">
        <v>7000</v>
      </c>
      <c r="D23" s="22">
        <f>'[1]CHEQUES OPS'!$AE$183+'[1]USD OP'!$L$75</f>
        <v>6166.99</v>
      </c>
      <c r="E23" s="23">
        <f t="shared" si="0"/>
        <v>0.88099857142857141</v>
      </c>
      <c r="F23" s="18">
        <f t="shared" si="8"/>
        <v>833.01000000000022</v>
      </c>
      <c r="G23" s="24">
        <f t="shared" si="9"/>
        <v>0.11900142857142861</v>
      </c>
      <c r="H23" s="22">
        <f t="shared" si="7"/>
        <v>7000</v>
      </c>
      <c r="I23" s="10" t="s">
        <v>50</v>
      </c>
    </row>
    <row r="24" spans="1:10" ht="42" x14ac:dyDescent="0.3">
      <c r="A24" s="8">
        <f t="shared" si="10"/>
        <v>19</v>
      </c>
      <c r="B24" s="8" t="s">
        <v>20</v>
      </c>
      <c r="C24" s="22">
        <v>8000</v>
      </c>
      <c r="D24" s="22">
        <f>'[1]CHEQUES OPS'!$I$183+'[1]CHEQUES OPS'!$V$75+2000</f>
        <v>3639.2520924818919</v>
      </c>
      <c r="E24" s="23">
        <f t="shared" si="0"/>
        <v>0.45490651156023648</v>
      </c>
      <c r="F24" s="18">
        <f t="shared" si="8"/>
        <v>4360.7479075181081</v>
      </c>
      <c r="G24" s="24">
        <f t="shared" si="9"/>
        <v>0.54509348843976357</v>
      </c>
      <c r="H24" s="22">
        <f t="shared" si="7"/>
        <v>8000</v>
      </c>
      <c r="I24" s="10" t="s">
        <v>59</v>
      </c>
    </row>
    <row r="25" spans="1:10" x14ac:dyDescent="0.3">
      <c r="A25" s="8">
        <f t="shared" si="10"/>
        <v>20</v>
      </c>
      <c r="B25" s="8" t="s">
        <v>21</v>
      </c>
      <c r="C25" s="22">
        <v>2000</v>
      </c>
      <c r="D25" s="27">
        <f>'[1]CHEQUES OPS'!$T$183</f>
        <v>0</v>
      </c>
      <c r="E25" s="23">
        <f t="shared" si="0"/>
        <v>0</v>
      </c>
      <c r="F25" s="18">
        <f t="shared" si="8"/>
        <v>2000</v>
      </c>
      <c r="G25" s="24">
        <f t="shared" si="9"/>
        <v>1</v>
      </c>
      <c r="H25" s="22">
        <f t="shared" si="7"/>
        <v>2000</v>
      </c>
      <c r="I25" s="10" t="s">
        <v>60</v>
      </c>
    </row>
    <row r="26" spans="1:10" x14ac:dyDescent="0.3">
      <c r="A26" s="8">
        <f t="shared" si="10"/>
        <v>21</v>
      </c>
      <c r="B26" s="8" t="s">
        <v>22</v>
      </c>
      <c r="C26" s="22">
        <v>2000</v>
      </c>
      <c r="D26" s="22">
        <v>1066</v>
      </c>
      <c r="E26" s="23">
        <f t="shared" si="0"/>
        <v>0.53300000000000003</v>
      </c>
      <c r="F26" s="18">
        <f t="shared" si="8"/>
        <v>934</v>
      </c>
      <c r="G26" s="24">
        <f t="shared" si="9"/>
        <v>0.46700000000000003</v>
      </c>
      <c r="H26" s="22">
        <f t="shared" si="7"/>
        <v>2000</v>
      </c>
      <c r="I26" s="10" t="s">
        <v>61</v>
      </c>
    </row>
    <row r="27" spans="1:10" ht="42" x14ac:dyDescent="0.3">
      <c r="A27" s="8">
        <f t="shared" si="10"/>
        <v>22</v>
      </c>
      <c r="B27" s="10" t="s">
        <v>62</v>
      </c>
      <c r="C27" s="22">
        <v>12000</v>
      </c>
      <c r="D27" s="22">
        <f>'[1]CHEQUES OPS'!$J$183*8/13</f>
        <v>7000.4064875158365</v>
      </c>
      <c r="E27" s="23">
        <f t="shared" si="0"/>
        <v>0.58336720729298641</v>
      </c>
      <c r="F27" s="18">
        <f t="shared" si="8"/>
        <v>4999.5935124841635</v>
      </c>
      <c r="G27" s="24">
        <f t="shared" si="9"/>
        <v>0.41663279270701364</v>
      </c>
      <c r="H27" s="22">
        <f t="shared" si="7"/>
        <v>12000</v>
      </c>
      <c r="I27" s="10" t="s">
        <v>63</v>
      </c>
    </row>
    <row r="28" spans="1:10" ht="28.2" x14ac:dyDescent="0.3">
      <c r="A28" s="8">
        <f t="shared" si="10"/>
        <v>23</v>
      </c>
      <c r="B28" s="8" t="s">
        <v>23</v>
      </c>
      <c r="C28" s="22">
        <v>25000</v>
      </c>
      <c r="D28" s="22">
        <f>('[1]CHEQUES OPS'!$K$183*8/13+'[1]CHEQUES OPS'!$L$183*8/13+'[1]CHEQUES OPS'!$S$183+'[1]USD OP'!$N$75)-4000</f>
        <v>13168.076951488853</v>
      </c>
      <c r="E28" s="23">
        <f t="shared" si="0"/>
        <v>0.5267230780595541</v>
      </c>
      <c r="F28" s="18">
        <f t="shared" si="8"/>
        <v>11831.923048511147</v>
      </c>
      <c r="G28" s="24">
        <f t="shared" si="9"/>
        <v>0.4732769219404459</v>
      </c>
      <c r="H28" s="22">
        <f t="shared" si="7"/>
        <v>25000</v>
      </c>
      <c r="I28" s="10" t="s">
        <v>64</v>
      </c>
      <c r="J28" s="40"/>
    </row>
    <row r="29" spans="1:10" ht="28.2" x14ac:dyDescent="0.3">
      <c r="A29" s="8">
        <f t="shared" si="10"/>
        <v>24</v>
      </c>
      <c r="B29" s="8" t="s">
        <v>65</v>
      </c>
      <c r="C29" s="22">
        <v>5000</v>
      </c>
      <c r="D29" s="22">
        <f>'[1]CHEQUES OPS'!$M$183</f>
        <v>2402.0377123798326</v>
      </c>
      <c r="E29" s="23">
        <f t="shared" si="0"/>
        <v>0.48040754247596651</v>
      </c>
      <c r="F29" s="18">
        <f t="shared" si="8"/>
        <v>2597.9622876201674</v>
      </c>
      <c r="G29" s="24">
        <f t="shared" si="9"/>
        <v>0.51959245752403349</v>
      </c>
      <c r="H29" s="22">
        <f t="shared" si="7"/>
        <v>5000</v>
      </c>
      <c r="I29" s="10" t="s">
        <v>66</v>
      </c>
      <c r="J29" s="40"/>
    </row>
    <row r="30" spans="1:10" x14ac:dyDescent="0.3">
      <c r="A30" s="8">
        <f t="shared" si="10"/>
        <v>25</v>
      </c>
      <c r="B30" s="8" t="s">
        <v>25</v>
      </c>
      <c r="C30" s="22">
        <v>1500</v>
      </c>
      <c r="D30" s="22">
        <f>'[1]CHEQUES OPS'!$P$183</f>
        <v>1099.7327094414713</v>
      </c>
      <c r="E30" s="23">
        <f t="shared" si="0"/>
        <v>0.73315513962764756</v>
      </c>
      <c r="F30" s="18">
        <f t="shared" si="8"/>
        <v>400.26729055852866</v>
      </c>
      <c r="G30" s="24">
        <f t="shared" si="9"/>
        <v>0.26684486037235244</v>
      </c>
      <c r="H30" s="22">
        <f t="shared" si="7"/>
        <v>1500</v>
      </c>
      <c r="I30" s="10" t="s">
        <v>67</v>
      </c>
    </row>
    <row r="31" spans="1:10" x14ac:dyDescent="0.3">
      <c r="A31" s="8">
        <f t="shared" si="10"/>
        <v>26</v>
      </c>
      <c r="B31" s="8" t="s">
        <v>39</v>
      </c>
      <c r="C31" s="22">
        <v>1500</v>
      </c>
      <c r="D31" s="22">
        <f>'[1]CHEQUES OPS'!$O$183</f>
        <v>744.34753941735494</v>
      </c>
      <c r="E31" s="23">
        <f t="shared" si="0"/>
        <v>0.49623169294490327</v>
      </c>
      <c r="F31" s="18">
        <f t="shared" si="8"/>
        <v>755.65246058264506</v>
      </c>
      <c r="G31" s="24">
        <f t="shared" si="9"/>
        <v>0.50376830705509668</v>
      </c>
      <c r="H31" s="22">
        <f t="shared" si="7"/>
        <v>1500</v>
      </c>
      <c r="I31" s="10" t="s">
        <v>68</v>
      </c>
    </row>
    <row r="32" spans="1:10" ht="28.2" x14ac:dyDescent="0.3">
      <c r="A32" s="8">
        <f t="shared" si="10"/>
        <v>27</v>
      </c>
      <c r="B32" s="8" t="s">
        <v>26</v>
      </c>
      <c r="C32" s="22">
        <v>7000</v>
      </c>
      <c r="D32" s="22">
        <f>'[1]CHEQUES OPS'!$AJ$183+'[1]USD OP'!$Q$75</f>
        <v>0</v>
      </c>
      <c r="E32" s="23">
        <f t="shared" si="0"/>
        <v>0</v>
      </c>
      <c r="F32" s="18">
        <f t="shared" si="8"/>
        <v>7000</v>
      </c>
      <c r="G32" s="24">
        <f t="shared" si="9"/>
        <v>1</v>
      </c>
      <c r="H32" s="22">
        <f t="shared" si="7"/>
        <v>7000</v>
      </c>
      <c r="I32" s="10" t="s">
        <v>69</v>
      </c>
    </row>
    <row r="33" spans="1:9" x14ac:dyDescent="0.3">
      <c r="A33" s="8">
        <f t="shared" si="10"/>
        <v>28</v>
      </c>
      <c r="B33" s="8" t="s">
        <v>27</v>
      </c>
      <c r="C33" s="22">
        <v>1500</v>
      </c>
      <c r="D33" s="22">
        <f>'[1]CHEQUES OPS'!$AB$183+'[1]USD OP'!$H$75</f>
        <v>352.38351043595912</v>
      </c>
      <c r="E33" s="23">
        <f t="shared" si="0"/>
        <v>0.23492234029063941</v>
      </c>
      <c r="F33" s="18">
        <f t="shared" si="8"/>
        <v>1147.6164895640409</v>
      </c>
      <c r="G33" s="24">
        <f t="shared" si="9"/>
        <v>0.76507765970936059</v>
      </c>
      <c r="H33" s="22">
        <f t="shared" si="7"/>
        <v>1500</v>
      </c>
      <c r="I33" s="8" t="s">
        <v>70</v>
      </c>
    </row>
    <row r="34" spans="1:9" ht="28.2" x14ac:dyDescent="0.3">
      <c r="A34" s="8">
        <f t="shared" si="10"/>
        <v>29</v>
      </c>
      <c r="B34" s="10" t="s">
        <v>28</v>
      </c>
      <c r="C34" s="22">
        <v>10000</v>
      </c>
      <c r="D34" s="22">
        <f>'[1]CHEQUES OPS'!$Z$183</f>
        <v>2276.9832222500372</v>
      </c>
      <c r="E34" s="23">
        <f t="shared" si="0"/>
        <v>0.22769832222500372</v>
      </c>
      <c r="F34" s="18">
        <f t="shared" si="8"/>
        <v>7723.0167777499628</v>
      </c>
      <c r="G34" s="24">
        <f t="shared" si="9"/>
        <v>0.77230167777499625</v>
      </c>
      <c r="H34" s="22">
        <f t="shared" si="7"/>
        <v>10000</v>
      </c>
      <c r="I34" s="10" t="s">
        <v>71</v>
      </c>
    </row>
    <row r="35" spans="1:9" x14ac:dyDescent="0.3">
      <c r="A35" s="9"/>
      <c r="B35" s="9" t="s">
        <v>29</v>
      </c>
      <c r="C35" s="18">
        <v>220500</v>
      </c>
      <c r="D35" s="18">
        <f>SUM(D13:D34)</f>
        <v>75298.631837053748</v>
      </c>
      <c r="E35" s="23">
        <f t="shared" si="0"/>
        <v>0.34149039381883783</v>
      </c>
      <c r="F35" s="18">
        <f>SUM(F13:F34)</f>
        <v>145201.36816294625</v>
      </c>
      <c r="G35" s="24">
        <f t="shared" si="9"/>
        <v>0.65850960618116217</v>
      </c>
      <c r="H35" s="18">
        <f>SUM(H13:H34)</f>
        <v>220500</v>
      </c>
      <c r="I35" s="8"/>
    </row>
    <row r="36" spans="1:9" ht="42" x14ac:dyDescent="0.3">
      <c r="A36" s="9"/>
      <c r="B36" s="9" t="s">
        <v>34</v>
      </c>
      <c r="C36" s="18">
        <v>956770.71</v>
      </c>
      <c r="D36" s="18">
        <f>D12+D35</f>
        <v>403408.70183705376</v>
      </c>
      <c r="E36" s="23">
        <f t="shared" si="0"/>
        <v>0.42163571440962461</v>
      </c>
      <c r="F36" s="18">
        <f>F12+F35</f>
        <v>553362.00816294621</v>
      </c>
      <c r="G36" s="24">
        <f t="shared" si="9"/>
        <v>0.57836428559037534</v>
      </c>
      <c r="H36" s="18">
        <f>H12+H35</f>
        <v>956770.71</v>
      </c>
      <c r="I36" s="10" t="s">
        <v>73</v>
      </c>
    </row>
    <row r="37" spans="1:9" x14ac:dyDescent="0.3">
      <c r="A37" s="4"/>
      <c r="B37" s="4"/>
      <c r="C37" s="5"/>
      <c r="D37" s="5"/>
      <c r="F37" s="5"/>
      <c r="G37" s="11"/>
      <c r="H37" s="5"/>
    </row>
    <row r="38" spans="1:9" x14ac:dyDescent="0.3">
      <c r="A38" s="4"/>
      <c r="B38" s="4"/>
      <c r="D38" s="5"/>
      <c r="F38" s="5"/>
      <c r="G38" s="11"/>
      <c r="H38" s="5"/>
    </row>
    <row r="39" spans="1:9" x14ac:dyDescent="0.3">
      <c r="A39" s="4"/>
      <c r="B39" s="4"/>
      <c r="D39" s="5"/>
      <c r="F39" s="5"/>
      <c r="G39" s="11"/>
      <c r="H39" s="5"/>
    </row>
    <row r="40" spans="1:9" x14ac:dyDescent="0.3">
      <c r="A40" s="4"/>
      <c r="B40" s="4"/>
      <c r="D40" s="5"/>
      <c r="F40" s="5"/>
      <c r="G40" s="11"/>
      <c r="H40" s="5"/>
    </row>
    <row r="52" spans="1:8" x14ac:dyDescent="0.3">
      <c r="A52" s="28"/>
      <c r="B52" s="28"/>
      <c r="D52" s="29"/>
      <c r="E52" s="30"/>
      <c r="F52" s="29"/>
      <c r="G52" s="31"/>
      <c r="H52" s="29"/>
    </row>
    <row r="53" spans="1:8" x14ac:dyDescent="0.3">
      <c r="A53" s="28"/>
      <c r="D53" s="29"/>
      <c r="E53" s="30"/>
      <c r="F53" s="29"/>
      <c r="G53" s="31"/>
      <c r="H53" s="29"/>
    </row>
  </sheetData>
  <mergeCells count="1">
    <mergeCell ref="I4:I12"/>
  </mergeCells>
  <pageMargins left="0.7" right="0.7" top="0.75" bottom="0.75" header="0.3" footer="0.3"/>
  <pageSetup paperSize="9" scale="8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Performance</vt:lpstr>
      <vt:lpstr>Notes</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Agnes</cp:lastModifiedBy>
  <cp:lastPrinted>2019-07-25T13:03:54Z</cp:lastPrinted>
  <dcterms:created xsi:type="dcterms:W3CDTF">2016-03-23T15:13:12Z</dcterms:created>
  <dcterms:modified xsi:type="dcterms:W3CDTF">2019-08-23T15:55:49Z</dcterms:modified>
</cp:coreProperties>
</file>