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COUNCIL MEETINGS\2019 COMESA Policy Organs Meetings\Sub Committee Meetings\"/>
    </mc:Choice>
  </mc:AlternateContent>
  <bookViews>
    <workbookView xWindow="0" yWindow="0" windowWidth="20490" windowHeight="7455"/>
  </bookViews>
  <sheets>
    <sheet name="July" sheetId="9" r:id="rId1"/>
    <sheet name="Sheet1" sheetId="12" r:id="rId2"/>
    <sheet name="Sheet2" sheetId="10" r:id="rId3"/>
  </sheets>
  <externalReferences>
    <externalReference r:id="rId4"/>
    <externalReference r:id="rId5"/>
  </externalReferences>
  <definedNames>
    <definedName name="_xlnm.Print_Area" localSheetId="1">Sheet1!$A$3:$K$3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9" i="9" l="1"/>
  <c r="D29" i="12"/>
  <c r="G25" i="9"/>
  <c r="H38" i="12" l="1"/>
  <c r="I38" i="12" s="1"/>
  <c r="J38" i="12" s="1"/>
  <c r="I37" i="12"/>
  <c r="J37" i="12" s="1"/>
  <c r="I36" i="12"/>
  <c r="J36" i="12" s="1"/>
  <c r="I35" i="12"/>
  <c r="J35" i="12" s="1"/>
  <c r="D35" i="12"/>
  <c r="E35" i="12" s="1"/>
  <c r="I34" i="12"/>
  <c r="J34" i="12" s="1"/>
  <c r="D34" i="12"/>
  <c r="I33" i="12"/>
  <c r="J33" i="12" s="1"/>
  <c r="D33" i="12"/>
  <c r="F33" i="12" s="1"/>
  <c r="I32" i="12"/>
  <c r="J32" i="12" s="1"/>
  <c r="D32" i="12"/>
  <c r="I31" i="12"/>
  <c r="J31" i="12" s="1"/>
  <c r="D31" i="12"/>
  <c r="I30" i="12"/>
  <c r="J30" i="12" s="1"/>
  <c r="D30" i="12"/>
  <c r="I29" i="12"/>
  <c r="J29" i="12" s="1"/>
  <c r="F29" i="12"/>
  <c r="I28" i="12"/>
  <c r="J28" i="12" s="1"/>
  <c r="D28" i="12"/>
  <c r="F28" i="12" s="1"/>
  <c r="I27" i="12"/>
  <c r="J27" i="12" s="1"/>
  <c r="D27" i="12"/>
  <c r="E27" i="12" s="1"/>
  <c r="I26" i="12"/>
  <c r="J26" i="12" s="1"/>
  <c r="D26" i="12"/>
  <c r="F26" i="12" s="1"/>
  <c r="I25" i="12"/>
  <c r="J25" i="12" s="1"/>
  <c r="F25" i="12"/>
  <c r="I24" i="12"/>
  <c r="J24" i="12" s="1"/>
  <c r="D24" i="12"/>
  <c r="F24" i="12" s="1"/>
  <c r="I23" i="12"/>
  <c r="J23" i="12" s="1"/>
  <c r="D23" i="12"/>
  <c r="F23" i="12" s="1"/>
  <c r="I22" i="12"/>
  <c r="J22" i="12" s="1"/>
  <c r="D22" i="12"/>
  <c r="F22" i="12" s="1"/>
  <c r="I20" i="12"/>
  <c r="J20" i="12" s="1"/>
  <c r="D20" i="12"/>
  <c r="E20" i="12" s="1"/>
  <c r="I19" i="12"/>
  <c r="J19" i="12" s="1"/>
  <c r="D19" i="12"/>
  <c r="I18" i="12"/>
  <c r="J18" i="12" s="1"/>
  <c r="D18" i="12"/>
  <c r="I17" i="12"/>
  <c r="J17" i="12" s="1"/>
  <c r="F17" i="12"/>
  <c r="E17" i="12"/>
  <c r="I16" i="12"/>
  <c r="J16" i="12" s="1"/>
  <c r="D16" i="12"/>
  <c r="F16" i="12" s="1"/>
  <c r="I15" i="12"/>
  <c r="J15" i="12" s="1"/>
  <c r="D15" i="12"/>
  <c r="I14" i="12"/>
  <c r="J14" i="12" s="1"/>
  <c r="D14" i="12"/>
  <c r="A14" i="12"/>
  <c r="A15" i="12" s="1"/>
  <c r="A16" i="12" s="1"/>
  <c r="A17" i="12" s="1"/>
  <c r="A18" i="12" s="1"/>
  <c r="A19" i="12" s="1"/>
  <c r="A20" i="12" s="1"/>
  <c r="A21" i="12" s="1"/>
  <c r="A22" i="12" s="1"/>
  <c r="A23" i="12" s="1"/>
  <c r="A24" i="12" s="1"/>
  <c r="A25" i="12" s="1"/>
  <c r="A26" i="12" s="1"/>
  <c r="A27" i="12" s="1"/>
  <c r="A28" i="12" s="1"/>
  <c r="A29" i="12" s="1"/>
  <c r="A30" i="12" s="1"/>
  <c r="A31" i="12" s="1"/>
  <c r="A32" i="12" s="1"/>
  <c r="A33" i="12" s="1"/>
  <c r="A34" i="12" s="1"/>
  <c r="A35" i="12" s="1"/>
  <c r="A36" i="12" s="1"/>
  <c r="I13" i="12"/>
  <c r="J13" i="12" s="1"/>
  <c r="D13" i="12"/>
  <c r="H11" i="12"/>
  <c r="I11" i="12" s="1"/>
  <c r="J11" i="12" s="1"/>
  <c r="D11" i="12"/>
  <c r="F11" i="12" s="1"/>
  <c r="H10" i="12"/>
  <c r="I10" i="12" s="1"/>
  <c r="J10" i="12" s="1"/>
  <c r="D10" i="12"/>
  <c r="E10" i="12" s="1"/>
  <c r="H9" i="12"/>
  <c r="I9" i="12" s="1"/>
  <c r="J9" i="12" s="1"/>
  <c r="D9" i="12"/>
  <c r="E9" i="12" s="1"/>
  <c r="H8" i="12"/>
  <c r="I8" i="12" s="1"/>
  <c r="J8" i="12" s="1"/>
  <c r="D8" i="12"/>
  <c r="F8" i="12" s="1"/>
  <c r="H7" i="12"/>
  <c r="I7" i="12" s="1"/>
  <c r="J7" i="12" s="1"/>
  <c r="D7" i="12"/>
  <c r="E7" i="12" s="1"/>
  <c r="H6" i="12"/>
  <c r="D6" i="12"/>
  <c r="F6" i="12" s="1"/>
  <c r="A6" i="12"/>
  <c r="A7" i="12" s="1"/>
  <c r="A8" i="12" s="1"/>
  <c r="A9" i="12" s="1"/>
  <c r="A10" i="12" s="1"/>
  <c r="A11" i="12" s="1"/>
  <c r="H5" i="12"/>
  <c r="I5" i="12" s="1"/>
  <c r="J5" i="12" s="1"/>
  <c r="D5" i="12"/>
  <c r="F35" i="12" l="1"/>
  <c r="G35" i="12" s="1"/>
  <c r="G26" i="12"/>
  <c r="F10" i="12"/>
  <c r="F9" i="12"/>
  <c r="G9" i="12" s="1"/>
  <c r="G8" i="12"/>
  <c r="F27" i="12"/>
  <c r="G27" i="12" s="1"/>
  <c r="G11" i="12"/>
  <c r="E16" i="12"/>
  <c r="E23" i="12"/>
  <c r="G24" i="12"/>
  <c r="G22" i="12"/>
  <c r="G28" i="12"/>
  <c r="E6" i="12"/>
  <c r="F7" i="12"/>
  <c r="G7" i="12" s="1"/>
  <c r="E8" i="12"/>
  <c r="F14" i="12"/>
  <c r="G23" i="12"/>
  <c r="G25" i="12"/>
  <c r="G29" i="12"/>
  <c r="E31" i="12"/>
  <c r="G33" i="12"/>
  <c r="E14" i="12"/>
  <c r="E33" i="12"/>
  <c r="G16" i="12"/>
  <c r="E25" i="12"/>
  <c r="E29" i="12"/>
  <c r="F31" i="12"/>
  <c r="F13" i="12"/>
  <c r="G13" i="12" s="1"/>
  <c r="D38" i="12"/>
  <c r="E38" i="12" s="1"/>
  <c r="E13" i="12"/>
  <c r="F15" i="12"/>
  <c r="E15" i="12"/>
  <c r="D12" i="12"/>
  <c r="F5" i="12"/>
  <c r="I6" i="12"/>
  <c r="J6" i="12" s="1"/>
  <c r="H12" i="12"/>
  <c r="H39" i="12" s="1"/>
  <c r="I39" i="12" s="1"/>
  <c r="J39" i="12" s="1"/>
  <c r="E5" i="12"/>
  <c r="E18" i="12"/>
  <c r="F18" i="12"/>
  <c r="F19" i="12"/>
  <c r="E19" i="12"/>
  <c r="G6" i="12"/>
  <c r="F20" i="12"/>
  <c r="E22" i="12"/>
  <c r="E24" i="12"/>
  <c r="E26" i="12"/>
  <c r="E28" i="12"/>
  <c r="E11" i="12"/>
  <c r="G17" i="12"/>
  <c r="F30" i="12"/>
  <c r="E30" i="12"/>
  <c r="F32" i="12"/>
  <c r="E32" i="12"/>
  <c r="F34" i="12"/>
  <c r="E34" i="12"/>
  <c r="G19" i="9"/>
  <c r="G31" i="12" l="1"/>
  <c r="G14" i="12"/>
  <c r="G20" i="12"/>
  <c r="G18" i="12"/>
  <c r="D39" i="12"/>
  <c r="E39" i="12" s="1"/>
  <c r="E12" i="12"/>
  <c r="G32" i="12"/>
  <c r="F12" i="12"/>
  <c r="G15" i="12"/>
  <c r="G34" i="12"/>
  <c r="G30" i="12"/>
  <c r="I12" i="12"/>
  <c r="J12" i="12" s="1"/>
  <c r="G19" i="12"/>
  <c r="G5" i="12"/>
  <c r="F38" i="12"/>
  <c r="G18" i="9"/>
  <c r="G27" i="9"/>
  <c r="G38" i="12" l="1"/>
  <c r="G12" i="12"/>
  <c r="F39" i="12"/>
  <c r="O38" i="9"/>
  <c r="P37" i="9"/>
  <c r="Q37" i="9" s="1"/>
  <c r="G39" i="12" l="1"/>
  <c r="G22" i="10"/>
  <c r="C15" i="10"/>
  <c r="C8" i="10"/>
  <c r="P36" i="9" l="1"/>
  <c r="Q36" i="9" s="1"/>
  <c r="G28" i="9" l="1"/>
  <c r="P38" i="9" l="1"/>
  <c r="Q38" i="9" s="1"/>
  <c r="O11" i="9"/>
  <c r="P11" i="9" s="1"/>
  <c r="Q11" i="9" s="1"/>
  <c r="O10" i="9"/>
  <c r="P10" i="9" s="1"/>
  <c r="Q10" i="9" s="1"/>
  <c r="O8" i="9"/>
  <c r="P8" i="9" s="1"/>
  <c r="Q8" i="9" s="1"/>
  <c r="O7" i="9"/>
  <c r="P7" i="9" s="1"/>
  <c r="Q7" i="9" s="1"/>
  <c r="O6" i="9"/>
  <c r="P6" i="9" s="1"/>
  <c r="Q6" i="9" s="1"/>
  <c r="H28" i="10"/>
  <c r="E28" i="10"/>
  <c r="G27" i="10"/>
  <c r="F27" i="10"/>
  <c r="C27" i="10"/>
  <c r="F26" i="10"/>
  <c r="E26" i="10"/>
  <c r="D26" i="10"/>
  <c r="C26" i="10"/>
  <c r="G25" i="10"/>
  <c r="F25" i="10"/>
  <c r="E25" i="10"/>
  <c r="D25" i="10"/>
  <c r="C25" i="10"/>
  <c r="G24" i="10"/>
  <c r="F24" i="10"/>
  <c r="D24" i="10"/>
  <c r="D27" i="10" s="1"/>
  <c r="C24" i="10"/>
  <c r="G23" i="10"/>
  <c r="C23" i="10"/>
  <c r="E22" i="10"/>
  <c r="C22" i="10"/>
  <c r="F21" i="10"/>
  <c r="D21" i="10"/>
  <c r="C21" i="10"/>
  <c r="C28" i="10" s="1"/>
  <c r="E15" i="10"/>
  <c r="D15" i="10"/>
  <c r="D12" i="10"/>
  <c r="P35" i="9"/>
  <c r="Q35" i="9" s="1"/>
  <c r="P34" i="9"/>
  <c r="Q34" i="9" s="1"/>
  <c r="P33" i="9"/>
  <c r="Q33" i="9" s="1"/>
  <c r="P32" i="9"/>
  <c r="Q32" i="9" s="1"/>
  <c r="P31" i="9"/>
  <c r="Q31" i="9" s="1"/>
  <c r="P30" i="9"/>
  <c r="Q30" i="9" s="1"/>
  <c r="P29" i="9"/>
  <c r="Q29" i="9" s="1"/>
  <c r="P28" i="9"/>
  <c r="Q28" i="9" s="1"/>
  <c r="P27" i="9"/>
  <c r="Q27" i="9" s="1"/>
  <c r="P26" i="9"/>
  <c r="Q26" i="9" s="1"/>
  <c r="P25" i="9"/>
  <c r="Q25" i="9" s="1"/>
  <c r="P24" i="9"/>
  <c r="Q24" i="9" s="1"/>
  <c r="P23" i="9"/>
  <c r="Q23" i="9" s="1"/>
  <c r="P22" i="9"/>
  <c r="Q22" i="9" s="1"/>
  <c r="P20" i="9"/>
  <c r="Q20" i="9" s="1"/>
  <c r="P19" i="9"/>
  <c r="Q19" i="9" s="1"/>
  <c r="P18" i="9"/>
  <c r="Q18" i="9" s="1"/>
  <c r="P17" i="9"/>
  <c r="Q17" i="9" s="1"/>
  <c r="P16" i="9"/>
  <c r="Q16" i="9" s="1"/>
  <c r="P15" i="9"/>
  <c r="Q15" i="9" s="1"/>
  <c r="P14" i="9"/>
  <c r="Q14" i="9" s="1"/>
  <c r="P13" i="9"/>
  <c r="Q13" i="9" s="1"/>
  <c r="G35" i="9"/>
  <c r="G34" i="9"/>
  <c r="G33" i="9"/>
  <c r="G32" i="9"/>
  <c r="G31" i="9"/>
  <c r="G30" i="9"/>
  <c r="G26" i="9"/>
  <c r="G24" i="9"/>
  <c r="G22" i="9"/>
  <c r="G20" i="9"/>
  <c r="G16" i="9"/>
  <c r="G15" i="9"/>
  <c r="G14" i="9"/>
  <c r="G28" i="10" l="1"/>
  <c r="O9" i="9" s="1"/>
  <c r="P9" i="9" s="1"/>
  <c r="Q9" i="9" s="1"/>
  <c r="O5" i="9"/>
  <c r="P5" i="9" s="1"/>
  <c r="Q5" i="9" s="1"/>
  <c r="F22" i="10"/>
  <c r="F28" i="10" s="1"/>
  <c r="D22" i="10"/>
  <c r="D28" i="10" s="1"/>
  <c r="D23" i="10"/>
  <c r="O12" i="9" l="1"/>
  <c r="O39" i="9" s="1"/>
  <c r="P39" i="9" s="1"/>
  <c r="Q39" i="9" s="1"/>
  <c r="P12" i="9"/>
  <c r="Q12" i="9" l="1"/>
  <c r="G23" i="9"/>
  <c r="G13" i="9"/>
  <c r="G38" i="9" l="1"/>
  <c r="G11" i="9"/>
  <c r="G10" i="9"/>
  <c r="G9" i="9"/>
  <c r="G8" i="9"/>
  <c r="G7" i="9"/>
  <c r="G6" i="9"/>
  <c r="G5" i="9"/>
  <c r="H23" i="9" l="1"/>
  <c r="I17" i="9"/>
  <c r="J17" i="9" s="1"/>
  <c r="I13" i="9"/>
  <c r="K13" i="9" s="1"/>
  <c r="M13" i="9" s="1"/>
  <c r="I11" i="9"/>
  <c r="J11" i="9" s="1"/>
  <c r="H9" i="9"/>
  <c r="I7" i="9"/>
  <c r="J7" i="9" s="1"/>
  <c r="I5" i="9"/>
  <c r="A15" i="9"/>
  <c r="A16" i="9" s="1"/>
  <c r="A17" i="9" s="1"/>
  <c r="A18" i="9" s="1"/>
  <c r="A19" i="9" s="1"/>
  <c r="A20" i="9" s="1"/>
  <c r="A14" i="9"/>
  <c r="M10" i="9"/>
  <c r="L10" i="9"/>
  <c r="I10" i="9"/>
  <c r="J10" i="9" s="1"/>
  <c r="A6" i="9"/>
  <c r="A7" i="9" s="1"/>
  <c r="A8" i="9" s="1"/>
  <c r="A9" i="9" s="1"/>
  <c r="A10" i="9" s="1"/>
  <c r="A11" i="9" s="1"/>
  <c r="A21" i="9" l="1"/>
  <c r="A22" i="9" s="1"/>
  <c r="A23" i="9" s="1"/>
  <c r="A24" i="9" s="1"/>
  <c r="A25" i="9" s="1"/>
  <c r="A26" i="9" s="1"/>
  <c r="A27" i="9" s="1"/>
  <c r="A28" i="9" s="1"/>
  <c r="A29" i="9" s="1"/>
  <c r="A30" i="9" s="1"/>
  <c r="A31" i="9" s="1"/>
  <c r="A32" i="9" s="1"/>
  <c r="A33" i="9" s="1"/>
  <c r="I23" i="9"/>
  <c r="K23" i="9" s="1"/>
  <c r="M23" i="9" s="1"/>
  <c r="I9" i="9"/>
  <c r="J9" i="9" s="1"/>
  <c r="K17" i="9"/>
  <c r="M17" i="9" s="1"/>
  <c r="H11" i="9"/>
  <c r="H7" i="9"/>
  <c r="J5" i="9"/>
  <c r="K5" i="9"/>
  <c r="G12" i="9"/>
  <c r="H6" i="9"/>
  <c r="K7" i="9"/>
  <c r="H8" i="9"/>
  <c r="H10" i="9"/>
  <c r="L13" i="9"/>
  <c r="H5" i="9"/>
  <c r="I6" i="9"/>
  <c r="J6" i="9" s="1"/>
  <c r="I8" i="9"/>
  <c r="J8" i="9" s="1"/>
  <c r="K11" i="9"/>
  <c r="H13" i="9"/>
  <c r="H17" i="9"/>
  <c r="J13" i="9"/>
  <c r="J23" i="9" l="1"/>
  <c r="K9" i="9"/>
  <c r="L9" i="9" s="1"/>
  <c r="L23" i="9"/>
  <c r="L17" i="9"/>
  <c r="H12" i="9"/>
  <c r="M7" i="9"/>
  <c r="L7" i="9"/>
  <c r="K8" i="9"/>
  <c r="K6" i="9"/>
  <c r="M5" i="9"/>
  <c r="L5" i="9"/>
  <c r="M11" i="9"/>
  <c r="L11" i="9"/>
  <c r="M9" i="9"/>
  <c r="I12" i="9"/>
  <c r="A34" i="9" l="1"/>
  <c r="A35" i="9" s="1"/>
  <c r="A36" i="9" s="1"/>
  <c r="M8" i="9"/>
  <c r="L8" i="9"/>
  <c r="J12" i="9"/>
  <c r="K12" i="9"/>
  <c r="M6" i="9"/>
  <c r="L6" i="9"/>
  <c r="L12" i="9" l="1"/>
  <c r="M12" i="9"/>
  <c r="I33" i="9" l="1"/>
  <c r="J33" i="9" s="1"/>
  <c r="H33" i="9"/>
  <c r="K33" i="9" l="1"/>
  <c r="L33" i="9" s="1"/>
  <c r="M33" i="9" l="1"/>
  <c r="H28" i="9" l="1"/>
  <c r="I28" i="9"/>
  <c r="I25" i="9"/>
  <c r="J25" i="9" s="1"/>
  <c r="H25" i="9"/>
  <c r="J28" i="9" l="1"/>
  <c r="K25" i="9"/>
  <c r="L25" i="9" s="1"/>
  <c r="K28" i="9"/>
  <c r="I26" i="9"/>
  <c r="J26" i="9" s="1"/>
  <c r="H26" i="9"/>
  <c r="M25" i="9" l="1"/>
  <c r="M28" i="9"/>
  <c r="K26" i="9"/>
  <c r="L26" i="9" s="1"/>
  <c r="L28" i="9"/>
  <c r="M26" i="9" l="1"/>
  <c r="I15" i="9"/>
  <c r="J15" i="9" s="1"/>
  <c r="H15" i="9"/>
  <c r="I29" i="9"/>
  <c r="H29" i="9"/>
  <c r="J29" i="9" l="1"/>
  <c r="K29" i="9"/>
  <c r="I20" i="9"/>
  <c r="J20" i="9" s="1"/>
  <c r="H20" i="9"/>
  <c r="K15" i="9"/>
  <c r="M29" i="9" l="1"/>
  <c r="L29" i="9"/>
  <c r="I24" i="9"/>
  <c r="J24" i="9" s="1"/>
  <c r="H24" i="9"/>
  <c r="I31" i="9"/>
  <c r="J31" i="9" s="1"/>
  <c r="H31" i="9"/>
  <c r="M15" i="9"/>
  <c r="L15" i="9"/>
  <c r="K20" i="9"/>
  <c r="K24" i="9" l="1"/>
  <c r="M24" i="9" s="1"/>
  <c r="M20" i="9"/>
  <c r="L20" i="9"/>
  <c r="I32" i="9"/>
  <c r="J32" i="9" s="1"/>
  <c r="H32" i="9"/>
  <c r="K31" i="9"/>
  <c r="I18" i="9"/>
  <c r="J18" i="9" s="1"/>
  <c r="H18" i="9"/>
  <c r="L24" i="9" l="1"/>
  <c r="K18" i="9"/>
  <c r="M18" i="9" s="1"/>
  <c r="K32" i="9"/>
  <c r="M32" i="9" s="1"/>
  <c r="M31" i="9"/>
  <c r="L31" i="9"/>
  <c r="L18" i="9" l="1"/>
  <c r="L32" i="9"/>
  <c r="I30" i="9"/>
  <c r="J30" i="9" s="1"/>
  <c r="H30" i="9"/>
  <c r="I34" i="9"/>
  <c r="J34" i="9" s="1"/>
  <c r="H34" i="9"/>
  <c r="K34" i="9" l="1"/>
  <c r="L34" i="9" s="1"/>
  <c r="H14" i="9"/>
  <c r="I14" i="9"/>
  <c r="K30" i="9"/>
  <c r="M34" i="9" l="1"/>
  <c r="M30" i="9"/>
  <c r="L30" i="9"/>
  <c r="K14" i="9"/>
  <c r="J14" i="9"/>
  <c r="I35" i="9" l="1"/>
  <c r="J35" i="9" s="1"/>
  <c r="H35" i="9"/>
  <c r="L14" i="9"/>
  <c r="M14" i="9"/>
  <c r="K35" i="9" l="1"/>
  <c r="I19" i="9" l="1"/>
  <c r="J19" i="9" s="1"/>
  <c r="H19" i="9"/>
  <c r="H16" i="9"/>
  <c r="I16" i="9"/>
  <c r="L35" i="9"/>
  <c r="M35" i="9"/>
  <c r="K19" i="9" l="1"/>
  <c r="M19" i="9" s="1"/>
  <c r="J16" i="9"/>
  <c r="K16" i="9"/>
  <c r="L19" i="9" l="1"/>
  <c r="I22" i="9"/>
  <c r="H22" i="9"/>
  <c r="I27" i="9"/>
  <c r="H27" i="9"/>
  <c r="M16" i="9"/>
  <c r="L16" i="9"/>
  <c r="J22" i="9" l="1"/>
  <c r="I38" i="9"/>
  <c r="K22" i="9"/>
  <c r="J27" i="9"/>
  <c r="G39" i="9"/>
  <c r="H39" i="9" s="1"/>
  <c r="H38" i="9"/>
  <c r="K27" i="9"/>
  <c r="M22" i="9" l="1"/>
  <c r="K38" i="9"/>
  <c r="L22" i="9"/>
  <c r="I39" i="9"/>
  <c r="J39" i="9" s="1"/>
  <c r="J38" i="9"/>
  <c r="M27" i="9"/>
  <c r="L27" i="9"/>
  <c r="K39" i="9" l="1"/>
  <c r="L38" i="9"/>
  <c r="M38" i="9"/>
  <c r="M39" i="9" l="1"/>
  <c r="L39" i="9"/>
</calcChain>
</file>

<file path=xl/sharedStrings.xml><?xml version="1.0" encoding="utf-8"?>
<sst xmlns="http://schemas.openxmlformats.org/spreadsheetml/2006/main" count="205" uniqueCount="125">
  <si>
    <t>BUDGET LINE</t>
  </si>
  <si>
    <t>COM $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</si>
  <si>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</si>
  <si>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</si>
  <si>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</si>
  <si>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</si>
  <si>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</si>
  <si>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</si>
  <si>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</si>
  <si>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</si>
  <si>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</si>
  <si>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</si>
  <si>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</si>
  <si>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</si>
  <si>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xiii</t>
  </si>
  <si>
    <t>xiv</t>
  </si>
  <si>
    <t>xv</t>
  </si>
  <si>
    <t>xvi</t>
  </si>
  <si>
    <t>xvii</t>
  </si>
  <si>
    <t>xviii</t>
  </si>
  <si>
    <t>xix</t>
  </si>
  <si>
    <t>%</t>
  </si>
  <si>
    <t>Basic salary - Professionals</t>
  </si>
  <si>
    <t>Basic salary - General staff</t>
  </si>
  <si>
    <t>Housing allowance</t>
  </si>
  <si>
    <t>Dependants allowance</t>
  </si>
  <si>
    <t>Gratuity</t>
  </si>
  <si>
    <t>Medical allowance</t>
  </si>
  <si>
    <t>Education allowance</t>
  </si>
  <si>
    <t>Total for staff costs</t>
  </si>
  <si>
    <t>Commissioners' honorarium</t>
  </si>
  <si>
    <t>Technical expenses</t>
  </si>
  <si>
    <t>Recruitment expenses</t>
  </si>
  <si>
    <t>Publication and Publicity</t>
  </si>
  <si>
    <t>Office supplies</t>
  </si>
  <si>
    <t>Public relations and Promotional activities</t>
  </si>
  <si>
    <t>Audit fees</t>
  </si>
  <si>
    <t>Legal fees</t>
  </si>
  <si>
    <t>Translation and Transcription</t>
  </si>
  <si>
    <t>M/V repair and maintenance</t>
  </si>
  <si>
    <t>Insurance motor vehicles</t>
  </si>
  <si>
    <t>Insurance other assets</t>
  </si>
  <si>
    <t>Hospitality</t>
  </si>
  <si>
    <t>Consultancy costs</t>
  </si>
  <si>
    <t>Bank charges</t>
  </si>
  <si>
    <t>Total operational costs</t>
  </si>
  <si>
    <t>Actual/Budget</t>
  </si>
  <si>
    <t>Notes</t>
  </si>
  <si>
    <t>Variance</t>
  </si>
  <si>
    <t>Actual/Projected</t>
  </si>
  <si>
    <t>No</t>
  </si>
  <si>
    <t>Total regular budget</t>
  </si>
  <si>
    <t>2018  Budget</t>
  </si>
  <si>
    <t xml:space="preserve">Travel expenses - official </t>
  </si>
  <si>
    <t>Travel expenses - contractual</t>
  </si>
  <si>
    <t>2018 Actual</t>
  </si>
  <si>
    <t xml:space="preserve">   2018         Variance</t>
  </si>
  <si>
    <t>2019       Actual/Budget</t>
  </si>
  <si>
    <t>2019                      Total Projected</t>
  </si>
  <si>
    <t>Incr/Decr</t>
  </si>
  <si>
    <t>Advertising</t>
  </si>
  <si>
    <t>All calculations relating to salaries and allowances are based on COMESA approved salary scale.</t>
  </si>
  <si>
    <t xml:space="preserve">                                                  WORKINGS</t>
  </si>
  <si>
    <t>SALARY</t>
  </si>
  <si>
    <t>NO</t>
  </si>
  <si>
    <t>POSITION</t>
  </si>
  <si>
    <t>Professional Staff</t>
  </si>
  <si>
    <t>Intermediate Category</t>
  </si>
  <si>
    <t>General Service</t>
  </si>
  <si>
    <t>Director</t>
  </si>
  <si>
    <t>Section Managers</t>
  </si>
  <si>
    <t>Registrar</t>
  </si>
  <si>
    <t>Senior Finance Assistant</t>
  </si>
  <si>
    <t>Administrative Assistant</t>
  </si>
  <si>
    <t>General Assistant</t>
  </si>
  <si>
    <t>Driver/Messenger</t>
  </si>
  <si>
    <t>TOTALS</t>
  </si>
  <si>
    <t>ALLOWANCES</t>
  </si>
  <si>
    <t>Housing</t>
  </si>
  <si>
    <t>Dependants</t>
  </si>
  <si>
    <t>Medical</t>
  </si>
  <si>
    <t>Education</t>
  </si>
  <si>
    <t>Spouse</t>
  </si>
  <si>
    <t>Section Manager</t>
  </si>
  <si>
    <t>Other office expenses</t>
  </si>
  <si>
    <t>Staff welfare</t>
  </si>
  <si>
    <t>2020 Proposed Budget</t>
  </si>
  <si>
    <t xml:space="preserve">                                                                              COMESA COMPETITION COMMISSION 2020 REGULAR BUDGET </t>
  </si>
  <si>
    <t>Office furniture and Equipment chairs and laptops</t>
  </si>
  <si>
    <t>Group insurance</t>
  </si>
  <si>
    <t>Utilities for the office</t>
  </si>
  <si>
    <t xml:space="preserve">Security, utilities and maintanance of common areas </t>
  </si>
  <si>
    <t>Communication (postage, phone bills &amp; internet subscription)</t>
  </si>
  <si>
    <t>2019 Budget</t>
  </si>
  <si>
    <t>2019        Actual            Jan - Jun</t>
  </si>
  <si>
    <t>2019               Projected Jul - Dec</t>
  </si>
  <si>
    <t>ANNEX II</t>
  </si>
  <si>
    <t>Explanatory notes</t>
  </si>
  <si>
    <t>These are contractual obligations. The decrease in Proffessional category is due to replacement of a Manager who left at Step 7 and has just been replaced  .The change in General Staff as well as gratuity is due to change in steps.</t>
  </si>
  <si>
    <t>The Commission will have Committee Meetings of the Board.</t>
  </si>
  <si>
    <t>To be used when recruiting more staff</t>
  </si>
  <si>
    <t>To be used among other activities in the participation of the Policy Organs Meetings</t>
  </si>
  <si>
    <t>To be used when staff travel home on leave</t>
  </si>
  <si>
    <t>Support budget line for procuring supplies.</t>
  </si>
  <si>
    <t>To be uesd when publishing documents.</t>
  </si>
  <si>
    <t>To be used on advocacy activities</t>
  </si>
  <si>
    <t>Advertising on recruitment of staff</t>
  </si>
  <si>
    <t>To be used during 2019 external audit</t>
  </si>
  <si>
    <t>Provided for any uncertain litigation.</t>
  </si>
  <si>
    <t>To be used when translating documents into three COMESA ooficial languages</t>
  </si>
  <si>
    <t xml:space="preserve">This budget has been introduced to be used for staff welfare expenses and used as and when there are staff welfare issues to address. </t>
  </si>
  <si>
    <t>This budget has been introduced to be used for group insurance expenses and used as and when there are issues such as accidents to be addressed.</t>
  </si>
  <si>
    <t>The overall budget has increased by 4%</t>
  </si>
  <si>
    <t>This budget line is used for entartaining official visitors to the Commission. The Commission grows with activities hence, the need to incease the amount.</t>
  </si>
  <si>
    <t>This is dependent on transactions being presented to the bank.</t>
  </si>
  <si>
    <t>The Commission's office furniture and equipment is due for replacement having completely worn out</t>
  </si>
  <si>
    <t>Office cleaning costs among others</t>
  </si>
  <si>
    <t>A consultant will be engaged to develop a leniency programme</t>
  </si>
  <si>
    <t>As the staff complement has increased internet usage has increased due to research and communication. The Commission also has a lot conference calls when conducting its activities</t>
  </si>
  <si>
    <t>Used during Board meetings</t>
  </si>
  <si>
    <t>Reduction due to decreased market value of vehicles due to olg age</t>
  </si>
  <si>
    <t xml:space="preserve">Fuel and motor vehicle maintenance </t>
  </si>
  <si>
    <t xml:space="preserve">To include new assets to be procured </t>
  </si>
  <si>
    <t>Increase in tariffs has necessitated the increase in this budget line.</t>
  </si>
  <si>
    <t>ANNEX 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</si>
</sst>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4"/>
      <color theme="1"/>
      <name val="Times New Roman"/>
      <family val="1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 Narrow"/>
      <family val="2"/>
    </font>
    <font>
      <sz val="12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0" fontId="8" fillId="0" borderId="0" xfId="0" applyFont="1" applyBorder="1"/>
    <xf numFmtId="164" fontId="8" fillId="0" borderId="0" xfId="1" applyNumberFormat="1" applyFont="1" applyBorder="1"/>
    <xf numFmtId="0" fontId="9" fillId="0" borderId="0" xfId="0" applyFont="1" applyBorder="1"/>
    <xf numFmtId="164" fontId="9" fillId="0" borderId="0" xfId="1" applyNumberFormat="1" applyFont="1" applyBorder="1"/>
    <xf numFmtId="0" fontId="9" fillId="0" borderId="1" xfId="0" applyFont="1" applyBorder="1" applyAlignment="1">
      <alignment wrapText="1"/>
    </xf>
    <xf numFmtId="0" fontId="9" fillId="0" borderId="1" xfId="0" applyFont="1" applyBorder="1" applyAlignment="1">
      <alignment horizontal="center"/>
    </xf>
    <xf numFmtId="0" fontId="8" fillId="0" borderId="1" xfId="0" applyFont="1" applyBorder="1"/>
    <xf numFmtId="0" fontId="9" fillId="0" borderId="1" xfId="0" applyFont="1" applyBorder="1"/>
    <xf numFmtId="0" fontId="8" fillId="0" borderId="1" xfId="0" applyFont="1" applyBorder="1" applyAlignment="1">
      <alignment wrapText="1"/>
    </xf>
    <xf numFmtId="9" fontId="9" fillId="0" borderId="0" xfId="2" applyFont="1" applyBorder="1"/>
    <xf numFmtId="9" fontId="8" fillId="0" borderId="0" xfId="2" applyFont="1" applyBorder="1"/>
    <xf numFmtId="43" fontId="8" fillId="0" borderId="0" xfId="1" applyFont="1" applyBorder="1"/>
    <xf numFmtId="43" fontId="9" fillId="0" borderId="0" xfId="1" applyFont="1" applyBorder="1"/>
    <xf numFmtId="164" fontId="9" fillId="0" borderId="1" xfId="1" applyNumberFormat="1" applyFont="1" applyBorder="1" applyAlignment="1">
      <alignment horizontal="center" wrapText="1"/>
    </xf>
    <xf numFmtId="164" fontId="9" fillId="0" borderId="1" xfId="1" applyNumberFormat="1" applyFont="1" applyBorder="1" applyAlignment="1">
      <alignment wrapText="1"/>
    </xf>
    <xf numFmtId="9" fontId="9" fillId="0" borderId="1" xfId="2" applyFont="1" applyBorder="1" applyAlignment="1">
      <alignment wrapText="1"/>
    </xf>
    <xf numFmtId="43" fontId="9" fillId="0" borderId="1" xfId="1" applyFont="1" applyBorder="1" applyAlignment="1">
      <alignment wrapText="1"/>
    </xf>
    <xf numFmtId="164" fontId="9" fillId="0" borderId="1" xfId="1" applyNumberFormat="1" applyFont="1" applyBorder="1"/>
    <xf numFmtId="164" fontId="9" fillId="0" borderId="1" xfId="1" applyNumberFormat="1" applyFont="1" applyBorder="1" applyAlignment="1">
      <alignment horizontal="center"/>
    </xf>
    <xf numFmtId="9" fontId="9" fillId="0" borderId="1" xfId="2" applyFont="1" applyBorder="1" applyAlignment="1">
      <alignment horizontal="center"/>
    </xf>
    <xf numFmtId="43" fontId="9" fillId="0" borderId="1" xfId="1" applyFont="1" applyBorder="1" applyAlignment="1">
      <alignment horizontal="center"/>
    </xf>
    <xf numFmtId="164" fontId="8" fillId="0" borderId="1" xfId="1" applyNumberFormat="1" applyFont="1" applyBorder="1"/>
    <xf numFmtId="9" fontId="9" fillId="0" borderId="1" xfId="2" applyFont="1" applyBorder="1"/>
    <xf numFmtId="9" fontId="8" fillId="0" borderId="1" xfId="2" applyFont="1" applyBorder="1"/>
    <xf numFmtId="43" fontId="8" fillId="0" borderId="1" xfId="1" applyFont="1" applyBorder="1"/>
    <xf numFmtId="43" fontId="9" fillId="0" borderId="1" xfId="1" applyFont="1" applyBorder="1"/>
    <xf numFmtId="164" fontId="8" fillId="0" borderId="1" xfId="1" applyNumberFormat="1" applyFont="1" applyFill="1" applyBorder="1"/>
    <xf numFmtId="0" fontId="9" fillId="0" borderId="0" xfId="0" applyFont="1" applyBorder="1" applyAlignment="1">
      <alignment wrapText="1"/>
    </xf>
    <xf numFmtId="164" fontId="6" fillId="0" borderId="1" xfId="1" applyNumberFormat="1" applyFont="1" applyBorder="1" applyAlignment="1">
      <alignment horizontal="center"/>
    </xf>
    <xf numFmtId="164" fontId="7" fillId="0" borderId="1" xfId="1" applyNumberFormat="1" applyFont="1" applyBorder="1"/>
    <xf numFmtId="164" fontId="6" fillId="0" borderId="1" xfId="1" applyNumberFormat="1" applyFont="1" applyBorder="1"/>
    <xf numFmtId="164" fontId="7" fillId="0" borderId="1" xfId="1" applyNumberFormat="1" applyFont="1" applyFill="1" applyBorder="1"/>
    <xf numFmtId="9" fontId="9" fillId="0" borderId="1" xfId="2" applyFont="1" applyBorder="1" applyAlignment="1">
      <alignment horizontal="center" wrapText="1"/>
    </xf>
    <xf numFmtId="164" fontId="8" fillId="0" borderId="0" xfId="1" applyNumberFormat="1" applyFont="1"/>
    <xf numFmtId="0" fontId="8" fillId="0" borderId="0" xfId="0" applyFont="1"/>
    <xf numFmtId="0" fontId="10" fillId="0" borderId="0" xfId="0" applyFont="1"/>
    <xf numFmtId="164" fontId="10" fillId="0" borderId="0" xfId="1" applyNumberFormat="1" applyFont="1"/>
    <xf numFmtId="0" fontId="11" fillId="0" borderId="0" xfId="0" applyFont="1"/>
    <xf numFmtId="164" fontId="11" fillId="0" borderId="0" xfId="1" applyNumberFormat="1" applyFont="1"/>
    <xf numFmtId="43" fontId="11" fillId="0" borderId="0" xfId="1" applyNumberFormat="1" applyFont="1"/>
    <xf numFmtId="164" fontId="0" fillId="0" borderId="0" xfId="0" applyNumberFormat="1"/>
    <xf numFmtId="9" fontId="8" fillId="0" borderId="0" xfId="2" applyFont="1"/>
    <xf numFmtId="164" fontId="4" fillId="0" borderId="0" xfId="0" applyNumberFormat="1" applyFont="1"/>
    <xf numFmtId="0" fontId="7" fillId="0" borderId="0" xfId="0" applyFont="1"/>
    <xf numFmtId="164" fontId="6" fillId="0" borderId="1" xfId="1" applyNumberFormat="1" applyFont="1" applyBorder="1" applyAlignment="1">
      <alignment horizontal="center" vertical="center" wrapText="1"/>
    </xf>
    <xf numFmtId="164" fontId="6" fillId="0" borderId="1" xfId="1" applyNumberFormat="1" applyFont="1" applyBorder="1" applyAlignment="1">
      <alignment vertical="center" wrapText="1"/>
    </xf>
    <xf numFmtId="164" fontId="9" fillId="0" borderId="1" xfId="1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wrapText="1"/>
    </xf>
    <xf numFmtId="0" fontId="8" fillId="0" borderId="1" xfId="0" applyFont="1" applyBorder="1" applyAlignment="1">
      <alignment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Desktop/ACCOUNTS/ACCOUNTS%202019%20REGULAR/2019%20TRANSACTIONS%20REGULAR%20BUDGE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Desktop/ACCOUNTS/ACCOUNTS%202019%20REGULAR/2019%20COMESA%20COMPETITION%20COMMISSION%20REGULAR%20BUDGE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CHANGE DIFFERENCES"/>
      <sheetName val="CHEQUES OPS"/>
      <sheetName val="STAFF COSTS"/>
      <sheetName val="PETTY CASH"/>
      <sheetName val="USD OP"/>
      <sheetName val="REC MK"/>
      <sheetName val="REC USD OP"/>
      <sheetName val="Prior year obligations"/>
    </sheetNames>
    <sheetDataSet>
      <sheetData sheetId="0"/>
      <sheetData sheetId="1">
        <row r="73">
          <cell r="I73">
            <v>277.4410722098653</v>
          </cell>
        </row>
        <row r="183">
          <cell r="I183">
            <v>1639.2520924818919</v>
          </cell>
          <cell r="J183">
            <v>11375.660542213234</v>
          </cell>
          <cell r="K183">
            <v>6072.5999278255276</v>
          </cell>
          <cell r="L183">
            <v>18326.527696889396</v>
          </cell>
          <cell r="M183">
            <v>2402.0377123798326</v>
          </cell>
          <cell r="N183">
            <v>830.80492709178964</v>
          </cell>
          <cell r="O183">
            <v>744.34753941735494</v>
          </cell>
          <cell r="P183">
            <v>1099.7327094414713</v>
          </cell>
          <cell r="R183">
            <v>1348.7096705937643</v>
          </cell>
          <cell r="S183">
            <v>1653.2291824335139</v>
          </cell>
          <cell r="T183">
            <v>0</v>
          </cell>
          <cell r="W183">
            <v>3307.4792019776141</v>
          </cell>
          <cell r="Z183">
            <v>2276.9832222500372</v>
          </cell>
          <cell r="AA183">
            <v>4170.1163707317219</v>
          </cell>
          <cell r="AB183">
            <v>213.68351043595914</v>
          </cell>
          <cell r="AC183">
            <v>0</v>
          </cell>
          <cell r="AD183">
            <v>1269.9620692460624</v>
          </cell>
          <cell r="AE183">
            <v>0</v>
          </cell>
          <cell r="AH183">
            <v>1735.3493720015572</v>
          </cell>
          <cell r="AJ183">
            <v>0</v>
          </cell>
        </row>
        <row r="190">
          <cell r="H190">
            <v>1066.0513160761082</v>
          </cell>
        </row>
      </sheetData>
      <sheetData sheetId="2">
        <row r="3">
          <cell r="E3">
            <v>22044.97</v>
          </cell>
        </row>
        <row r="45">
          <cell r="E45">
            <v>177201.25000000003</v>
          </cell>
          <cell r="F45">
            <v>36227.170000000006</v>
          </cell>
          <cell r="G45">
            <v>74401.97</v>
          </cell>
          <cell r="H45">
            <v>28928.76</v>
          </cell>
          <cell r="I45">
            <v>2271.08</v>
          </cell>
          <cell r="J45">
            <v>24714.81</v>
          </cell>
          <cell r="K45">
            <v>4966.16</v>
          </cell>
        </row>
      </sheetData>
      <sheetData sheetId="3"/>
      <sheetData sheetId="4">
        <row r="31">
          <cell r="G31">
            <v>1650</v>
          </cell>
        </row>
        <row r="75">
          <cell r="G75">
            <v>10200</v>
          </cell>
          <cell r="H75">
            <v>138.69999999999999</v>
          </cell>
          <cell r="J75">
            <v>750</v>
          </cell>
          <cell r="K75">
            <v>0</v>
          </cell>
          <cell r="L75">
            <v>6166.99</v>
          </cell>
          <cell r="M75">
            <v>5770</v>
          </cell>
          <cell r="N75">
            <v>500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</row>
      </sheetData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dget performance"/>
      <sheetName val="Sheet1"/>
    </sheetNames>
    <sheetDataSet>
      <sheetData sheetId="0"/>
      <sheetData sheetId="1">
        <row r="27">
          <cell r="C27">
            <v>138999.96000000002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4"/>
  <sheetViews>
    <sheetView tabSelected="1" workbookViewId="0">
      <selection activeCell="B1" sqref="B1"/>
    </sheetView>
  </sheetViews>
  <sheetFormatPr defaultRowHeight="15" x14ac:dyDescent="0.25"/>
  <cols>
    <col min="1" max="1" width="6.85546875" style="7" customWidth="1"/>
    <col min="2" max="2" width="31.85546875" style="7" customWidth="1"/>
    <col min="3" max="3" width="10" style="8" customWidth="1"/>
    <col min="4" max="4" width="10.5703125" style="8" customWidth="1"/>
    <col min="5" max="5" width="9.85546875" style="8" customWidth="1"/>
    <col min="6" max="6" width="10.5703125" style="8" customWidth="1"/>
    <col min="7" max="7" width="10.7109375" style="8" customWidth="1"/>
    <col min="8" max="8" width="8.7109375" style="16" customWidth="1"/>
    <col min="9" max="9" width="13.5703125" style="8" customWidth="1"/>
    <col min="10" max="10" width="7.42578125" style="17" customWidth="1"/>
    <col min="11" max="11" width="12.5703125" style="8" customWidth="1"/>
    <col min="12" max="12" width="5.85546875" style="18" customWidth="1"/>
    <col min="13" max="13" width="8.28515625" style="17" customWidth="1"/>
    <col min="14" max="14" width="5.140625" style="7" customWidth="1"/>
    <col min="15" max="15" width="10.140625" style="40" customWidth="1"/>
    <col min="16" max="16" width="8.7109375" style="40" customWidth="1"/>
    <col min="17" max="17" width="6.85546875" style="48" customWidth="1"/>
  </cols>
  <sheetData>
    <row r="1" spans="1:22" x14ac:dyDescent="0.25">
      <c r="B1" s="9" t="s">
        <v>96</v>
      </c>
    </row>
    <row r="2" spans="1:22" ht="15.75" x14ac:dyDescent="0.25">
      <c r="A2" s="34"/>
      <c r="B2" s="9" t="s">
        <v>87</v>
      </c>
      <c r="C2" s="10"/>
      <c r="D2" s="10"/>
      <c r="E2" s="10"/>
      <c r="F2" s="10"/>
      <c r="G2" s="10"/>
      <c r="I2" s="10"/>
      <c r="J2" s="16"/>
      <c r="K2" s="10"/>
      <c r="L2" s="19"/>
      <c r="M2" s="16"/>
      <c r="N2" s="9"/>
      <c r="R2" s="2"/>
      <c r="S2" s="2"/>
      <c r="T2" s="2"/>
      <c r="U2" s="2"/>
      <c r="V2" s="2"/>
    </row>
    <row r="3" spans="1:22" ht="45" customHeight="1" x14ac:dyDescent="0.25">
      <c r="A3" s="11" t="s">
        <v>50</v>
      </c>
      <c r="B3" s="11" t="s">
        <v>0</v>
      </c>
      <c r="C3" s="51" t="s">
        <v>52</v>
      </c>
      <c r="D3" s="51" t="s">
        <v>55</v>
      </c>
      <c r="E3" s="52" t="s">
        <v>56</v>
      </c>
      <c r="F3" s="53" t="s">
        <v>93</v>
      </c>
      <c r="G3" s="20" t="s">
        <v>94</v>
      </c>
      <c r="H3" s="39" t="s">
        <v>57</v>
      </c>
      <c r="I3" s="20" t="s">
        <v>95</v>
      </c>
      <c r="J3" s="22" t="s">
        <v>49</v>
      </c>
      <c r="K3" s="20" t="s">
        <v>58</v>
      </c>
      <c r="L3" s="23" t="s">
        <v>48</v>
      </c>
      <c r="M3" s="22" t="s">
        <v>46</v>
      </c>
      <c r="N3" s="11" t="s">
        <v>47</v>
      </c>
      <c r="O3" s="21" t="s">
        <v>86</v>
      </c>
      <c r="P3" s="21" t="s">
        <v>59</v>
      </c>
      <c r="Q3" s="22" t="s">
        <v>59</v>
      </c>
      <c r="R3" s="3"/>
      <c r="S3" s="3"/>
      <c r="T3" s="3"/>
      <c r="U3" s="3"/>
      <c r="V3" s="3"/>
    </row>
    <row r="4" spans="1:22" ht="15.75" x14ac:dyDescent="0.25">
      <c r="A4" s="12"/>
      <c r="B4" s="12"/>
      <c r="C4" s="35" t="s">
        <v>1</v>
      </c>
      <c r="D4" s="35" t="s">
        <v>1</v>
      </c>
      <c r="E4" s="35" t="s">
        <v>1</v>
      </c>
      <c r="F4" s="25" t="s">
        <v>1</v>
      </c>
      <c r="G4" s="25" t="s">
        <v>1</v>
      </c>
      <c r="H4" s="26" t="s">
        <v>21</v>
      </c>
      <c r="I4" s="25" t="s">
        <v>1</v>
      </c>
      <c r="J4" s="26" t="s">
        <v>21</v>
      </c>
      <c r="K4" s="25" t="s">
        <v>1</v>
      </c>
      <c r="L4" s="27" t="s">
        <v>1</v>
      </c>
      <c r="M4" s="26" t="s">
        <v>21</v>
      </c>
      <c r="N4" s="12"/>
      <c r="O4" s="24" t="s">
        <v>1</v>
      </c>
      <c r="P4" s="24" t="s">
        <v>1</v>
      </c>
      <c r="Q4" s="29" t="s">
        <v>21</v>
      </c>
      <c r="R4" s="4"/>
      <c r="S4" s="4"/>
      <c r="T4" s="4"/>
      <c r="U4" s="4"/>
      <c r="V4" s="4"/>
    </row>
    <row r="5" spans="1:22" ht="15.75" x14ac:dyDescent="0.25">
      <c r="A5" s="13">
        <v>1</v>
      </c>
      <c r="B5" s="13" t="s">
        <v>22</v>
      </c>
      <c r="C5" s="36">
        <v>334196</v>
      </c>
      <c r="D5" s="36">
        <v>266089.63</v>
      </c>
      <c r="E5" s="36">
        <v>68106.37</v>
      </c>
      <c r="F5" s="28">
        <v>339415</v>
      </c>
      <c r="G5" s="28">
        <f>'[1]STAFF COSTS'!$E$45</f>
        <v>177201.25000000003</v>
      </c>
      <c r="H5" s="29">
        <f>G5/F5</f>
        <v>0.52207842906176816</v>
      </c>
      <c r="I5" s="24">
        <f>F5-G5</f>
        <v>162213.74999999997</v>
      </c>
      <c r="J5" s="30">
        <f>I5/F5</f>
        <v>0.4779215709382319</v>
      </c>
      <c r="K5" s="28">
        <f>G5+I5</f>
        <v>339415</v>
      </c>
      <c r="L5" s="31">
        <f>F5-K5</f>
        <v>0</v>
      </c>
      <c r="M5" s="30">
        <f t="shared" ref="M5:M39" si="0">K5/F5</f>
        <v>1</v>
      </c>
      <c r="N5" s="13" t="s">
        <v>2</v>
      </c>
      <c r="O5" s="28">
        <f>Sheet2!C15</f>
        <v>338415</v>
      </c>
      <c r="P5" s="28">
        <f>O5-F5</f>
        <v>-1000</v>
      </c>
      <c r="Q5" s="30">
        <f>P5/O5</f>
        <v>-2.9549517604125111E-3</v>
      </c>
      <c r="R5" s="5"/>
      <c r="S5" s="5"/>
      <c r="T5" s="5"/>
      <c r="U5" s="5"/>
      <c r="V5" s="5"/>
    </row>
    <row r="6" spans="1:22" ht="15.75" x14ac:dyDescent="0.25">
      <c r="A6" s="13">
        <f>A5+1</f>
        <v>2</v>
      </c>
      <c r="B6" s="13" t="s">
        <v>23</v>
      </c>
      <c r="C6" s="36">
        <v>64703</v>
      </c>
      <c r="D6" s="36">
        <v>49910.849999999984</v>
      </c>
      <c r="E6" s="36">
        <v>14792.150000000016</v>
      </c>
      <c r="F6" s="28">
        <v>77175</v>
      </c>
      <c r="G6" s="28">
        <f>'[1]STAFF COSTS'!$F$45</f>
        <v>36227.170000000006</v>
      </c>
      <c r="H6" s="29">
        <f t="shared" ref="H6:H39" si="1">G6/F6</f>
        <v>0.46941587301587306</v>
      </c>
      <c r="I6" s="24">
        <f t="shared" ref="I6:I11" si="2">F6-G6</f>
        <v>40947.829999999994</v>
      </c>
      <c r="J6" s="30">
        <f t="shared" ref="J6:J11" si="3">I6/F6</f>
        <v>0.53058412698412694</v>
      </c>
      <c r="K6" s="28">
        <f>G6+I6</f>
        <v>77175</v>
      </c>
      <c r="L6" s="31">
        <f>F6-K6</f>
        <v>0</v>
      </c>
      <c r="M6" s="30">
        <f t="shared" si="0"/>
        <v>1</v>
      </c>
      <c r="N6" s="13"/>
      <c r="O6" s="28">
        <f>Sheet2!D15+Sheet2!E15</f>
        <v>77922</v>
      </c>
      <c r="P6" s="28">
        <f t="shared" ref="P6:P39" si="4">O6-F6</f>
        <v>747</v>
      </c>
      <c r="Q6" s="30">
        <f t="shared" ref="Q6:Q39" si="5">P6/O6</f>
        <v>9.5865095865095857E-3</v>
      </c>
      <c r="R6" s="5"/>
      <c r="S6" s="5"/>
      <c r="T6" s="5"/>
      <c r="U6" s="5"/>
      <c r="V6" s="5"/>
    </row>
    <row r="7" spans="1:22" ht="15.75" x14ac:dyDescent="0.25">
      <c r="A7" s="13">
        <f t="shared" ref="A7:A11" si="6">A6+1</f>
        <v>3</v>
      </c>
      <c r="B7" s="13" t="s">
        <v>24</v>
      </c>
      <c r="C7" s="36">
        <v>144842.20000000001</v>
      </c>
      <c r="D7" s="36">
        <v>125563.23000000003</v>
      </c>
      <c r="E7" s="36">
        <v>19278.969999999987</v>
      </c>
      <c r="F7" s="28">
        <v>144841.96000000002</v>
      </c>
      <c r="G7" s="28">
        <f>'[1]STAFF COSTS'!$G$45</f>
        <v>74401.97</v>
      </c>
      <c r="H7" s="29">
        <f t="shared" si="1"/>
        <v>0.5136769068852699</v>
      </c>
      <c r="I7" s="24">
        <f t="shared" si="2"/>
        <v>70439.99000000002</v>
      </c>
      <c r="J7" s="30">
        <f t="shared" si="3"/>
        <v>0.4863230931147301</v>
      </c>
      <c r="K7" s="28">
        <f>G7+I7</f>
        <v>144841.96000000002</v>
      </c>
      <c r="L7" s="31">
        <f t="shared" ref="L7:L11" si="7">F7-K7</f>
        <v>0</v>
      </c>
      <c r="M7" s="30">
        <f t="shared" si="0"/>
        <v>1</v>
      </c>
      <c r="N7" s="13" t="s">
        <v>3</v>
      </c>
      <c r="O7" s="28">
        <f>[2]Sheet1!C27+5842</f>
        <v>144841.96000000002</v>
      </c>
      <c r="P7" s="28">
        <f t="shared" si="4"/>
        <v>0</v>
      </c>
      <c r="Q7" s="30">
        <f t="shared" si="5"/>
        <v>0</v>
      </c>
      <c r="R7" s="5"/>
      <c r="S7" s="5"/>
      <c r="T7" s="5"/>
      <c r="U7" s="5"/>
      <c r="V7" s="5"/>
    </row>
    <row r="8" spans="1:22" ht="15.75" x14ac:dyDescent="0.25">
      <c r="A8" s="13">
        <f t="shared" si="6"/>
        <v>4</v>
      </c>
      <c r="B8" s="13" t="s">
        <v>25</v>
      </c>
      <c r="C8" s="36">
        <v>6079</v>
      </c>
      <c r="D8" s="36">
        <v>5014.0800000000008</v>
      </c>
      <c r="E8" s="36">
        <v>1064.9199999999992</v>
      </c>
      <c r="F8" s="28">
        <v>6079</v>
      </c>
      <c r="G8" s="28">
        <f>'[1]STAFF COSTS'!$I$45</f>
        <v>2271.08</v>
      </c>
      <c r="H8" s="29">
        <f t="shared" si="1"/>
        <v>0.37359434117453527</v>
      </c>
      <c r="I8" s="24">
        <f t="shared" si="2"/>
        <v>3807.92</v>
      </c>
      <c r="J8" s="30">
        <f t="shared" si="3"/>
        <v>0.62640565882546473</v>
      </c>
      <c r="K8" s="28">
        <f>G8+I8</f>
        <v>6079</v>
      </c>
      <c r="L8" s="31">
        <f t="shared" si="7"/>
        <v>0</v>
      </c>
      <c r="M8" s="30">
        <f t="shared" si="0"/>
        <v>1</v>
      </c>
      <c r="N8" s="13" t="s">
        <v>4</v>
      </c>
      <c r="O8" s="28">
        <f>Sheet2!D28+1469</f>
        <v>6079</v>
      </c>
      <c r="P8" s="28">
        <f t="shared" si="4"/>
        <v>0</v>
      </c>
      <c r="Q8" s="30">
        <f t="shared" si="5"/>
        <v>0</v>
      </c>
      <c r="R8" s="5"/>
      <c r="S8" s="5"/>
      <c r="T8" s="5"/>
      <c r="U8" s="5"/>
      <c r="V8" s="5"/>
    </row>
    <row r="9" spans="1:22" ht="15.75" x14ac:dyDescent="0.25">
      <c r="A9" s="13">
        <f t="shared" si="6"/>
        <v>5</v>
      </c>
      <c r="B9" s="13" t="s">
        <v>26</v>
      </c>
      <c r="C9" s="36">
        <v>59833.85</v>
      </c>
      <c r="D9" s="36">
        <v>47153.700000000004</v>
      </c>
      <c r="E9" s="36">
        <v>12680.149999999994</v>
      </c>
      <c r="F9" s="28">
        <v>62405.749999999993</v>
      </c>
      <c r="G9" s="28">
        <f>'[1]STAFF COSTS'!$H$45</f>
        <v>28928.76</v>
      </c>
      <c r="H9" s="29">
        <f t="shared" si="1"/>
        <v>0.46355920728458516</v>
      </c>
      <c r="I9" s="24">
        <f t="shared" si="2"/>
        <v>33476.989999999991</v>
      </c>
      <c r="J9" s="30">
        <f t="shared" si="3"/>
        <v>0.53644079271541478</v>
      </c>
      <c r="K9" s="28">
        <f>G9+I9</f>
        <v>62405.749999999985</v>
      </c>
      <c r="L9" s="31">
        <f t="shared" si="7"/>
        <v>0</v>
      </c>
      <c r="M9" s="30">
        <f t="shared" si="0"/>
        <v>0.99999999999999989</v>
      </c>
      <c r="N9" s="13" t="s">
        <v>5</v>
      </c>
      <c r="O9" s="28">
        <f>Sheet2!G28</f>
        <v>63218.149999999994</v>
      </c>
      <c r="P9" s="28">
        <f t="shared" si="4"/>
        <v>812.40000000000146</v>
      </c>
      <c r="Q9" s="30">
        <f t="shared" si="5"/>
        <v>1.2850739858727304E-2</v>
      </c>
      <c r="R9" s="5"/>
      <c r="S9" s="5"/>
      <c r="T9" s="5"/>
      <c r="U9" s="5"/>
      <c r="V9" s="5"/>
    </row>
    <row r="10" spans="1:22" ht="15.75" x14ac:dyDescent="0.25">
      <c r="A10" s="13">
        <f t="shared" si="6"/>
        <v>6</v>
      </c>
      <c r="B10" s="13" t="s">
        <v>27</v>
      </c>
      <c r="C10" s="36">
        <v>33750</v>
      </c>
      <c r="D10" s="36">
        <v>557.6</v>
      </c>
      <c r="E10" s="36">
        <v>33192.400000000001</v>
      </c>
      <c r="F10" s="28">
        <v>33750</v>
      </c>
      <c r="G10" s="28">
        <f>'[1]STAFF COSTS'!$K$45</f>
        <v>4966.16</v>
      </c>
      <c r="H10" s="29">
        <f t="shared" si="1"/>
        <v>0.14714548148148149</v>
      </c>
      <c r="I10" s="24">
        <f t="shared" si="2"/>
        <v>28783.84</v>
      </c>
      <c r="J10" s="30">
        <f t="shared" si="3"/>
        <v>0.85285451851851857</v>
      </c>
      <c r="K10" s="28">
        <v>33750</v>
      </c>
      <c r="L10" s="31">
        <f t="shared" si="7"/>
        <v>0</v>
      </c>
      <c r="M10" s="30">
        <f t="shared" si="0"/>
        <v>1</v>
      </c>
      <c r="N10" s="13" t="s">
        <v>6</v>
      </c>
      <c r="O10" s="28">
        <f>Sheet2!E28</f>
        <v>33750</v>
      </c>
      <c r="P10" s="28">
        <f t="shared" si="4"/>
        <v>0</v>
      </c>
      <c r="Q10" s="30">
        <f t="shared" si="5"/>
        <v>0</v>
      </c>
      <c r="R10" s="5"/>
      <c r="S10" s="5"/>
      <c r="T10" s="5"/>
      <c r="U10" s="5"/>
      <c r="V10" s="5"/>
    </row>
    <row r="11" spans="1:22" ht="15.75" x14ac:dyDescent="0.25">
      <c r="A11" s="13">
        <f t="shared" si="6"/>
        <v>7</v>
      </c>
      <c r="B11" s="13" t="s">
        <v>28</v>
      </c>
      <c r="C11" s="36">
        <v>72604</v>
      </c>
      <c r="D11" s="36">
        <v>29619.61</v>
      </c>
      <c r="E11" s="36">
        <v>42984.39</v>
      </c>
      <c r="F11" s="28">
        <v>72604</v>
      </c>
      <c r="G11" s="28">
        <f>'[1]STAFF COSTS'!$J$45+7000</f>
        <v>31714.81</v>
      </c>
      <c r="H11" s="29">
        <f t="shared" si="1"/>
        <v>0.4368190457826015</v>
      </c>
      <c r="I11" s="24">
        <f t="shared" si="2"/>
        <v>40889.19</v>
      </c>
      <c r="J11" s="30">
        <f t="shared" si="3"/>
        <v>0.56318095421739855</v>
      </c>
      <c r="K11" s="28">
        <f>G11+I11</f>
        <v>72604</v>
      </c>
      <c r="L11" s="31">
        <f t="shared" si="7"/>
        <v>0</v>
      </c>
      <c r="M11" s="30">
        <f t="shared" si="0"/>
        <v>1</v>
      </c>
      <c r="N11" s="13" t="s">
        <v>7</v>
      </c>
      <c r="O11" s="28">
        <f>Sheet2!F28+4950</f>
        <v>72604</v>
      </c>
      <c r="P11" s="28">
        <f t="shared" si="4"/>
        <v>0</v>
      </c>
      <c r="Q11" s="30">
        <f t="shared" si="5"/>
        <v>0</v>
      </c>
      <c r="R11" s="5"/>
      <c r="S11" s="5"/>
      <c r="T11" s="5"/>
      <c r="U11" s="5"/>
      <c r="V11" s="5"/>
    </row>
    <row r="12" spans="1:22" s="1" customFormat="1" ht="15.75" x14ac:dyDescent="0.25">
      <c r="A12" s="14"/>
      <c r="B12" s="14" t="s">
        <v>29</v>
      </c>
      <c r="C12" s="37">
        <v>716008.04999999993</v>
      </c>
      <c r="D12" s="37">
        <v>523908.7</v>
      </c>
      <c r="E12" s="37">
        <v>192099.34999999998</v>
      </c>
      <c r="F12" s="24">
        <v>736270.71</v>
      </c>
      <c r="G12" s="24">
        <f t="shared" ref="G12" si="8">SUM(G5:G11)</f>
        <v>355711.2</v>
      </c>
      <c r="H12" s="29">
        <f t="shared" si="1"/>
        <v>0.48312556124906836</v>
      </c>
      <c r="I12" s="24">
        <f t="shared" ref="I12" si="9">SUM(I5:I11)</f>
        <v>380559.50999999995</v>
      </c>
      <c r="J12" s="29">
        <f>I12/F12</f>
        <v>0.51687443875093164</v>
      </c>
      <c r="K12" s="24">
        <f t="shared" ref="K12:L12" si="10">SUM(K5:K11)</f>
        <v>736270.71</v>
      </c>
      <c r="L12" s="32">
        <f t="shared" si="10"/>
        <v>0</v>
      </c>
      <c r="M12" s="29">
        <f t="shared" si="0"/>
        <v>1</v>
      </c>
      <c r="N12" s="14"/>
      <c r="O12" s="24">
        <f>SUM(O5:O11)</f>
        <v>736830.11</v>
      </c>
      <c r="P12" s="24">
        <f>SUM(P5:P11)</f>
        <v>559.40000000000146</v>
      </c>
      <c r="Q12" s="29">
        <f t="shared" si="5"/>
        <v>7.5919807348806827E-4</v>
      </c>
      <c r="R12" s="2"/>
      <c r="S12" s="2"/>
      <c r="T12" s="2"/>
      <c r="U12" s="2"/>
      <c r="V12" s="2"/>
    </row>
    <row r="13" spans="1:22" ht="15.75" x14ac:dyDescent="0.25">
      <c r="A13" s="13">
        <v>8</v>
      </c>
      <c r="B13" s="13" t="s">
        <v>30</v>
      </c>
      <c r="C13" s="36">
        <v>15000</v>
      </c>
      <c r="D13" s="36">
        <v>13950</v>
      </c>
      <c r="E13" s="36">
        <v>1050</v>
      </c>
      <c r="F13" s="28">
        <v>15000</v>
      </c>
      <c r="G13" s="28">
        <f>'[1]USD OP'!$M$75</f>
        <v>5770</v>
      </c>
      <c r="H13" s="29">
        <f t="shared" si="1"/>
        <v>0.38466666666666666</v>
      </c>
      <c r="I13" s="24">
        <f>F13-G13</f>
        <v>9230</v>
      </c>
      <c r="J13" s="30">
        <f>I13/F13</f>
        <v>0.61533333333333329</v>
      </c>
      <c r="K13" s="28">
        <f t="shared" ref="K13:K35" si="11">G13+I13</f>
        <v>15000</v>
      </c>
      <c r="L13" s="31">
        <f>F13-K13</f>
        <v>0</v>
      </c>
      <c r="M13" s="30">
        <f t="shared" si="0"/>
        <v>1</v>
      </c>
      <c r="N13" s="13" t="s">
        <v>8</v>
      </c>
      <c r="O13" s="28">
        <v>15000</v>
      </c>
      <c r="P13" s="28">
        <f t="shared" si="4"/>
        <v>0</v>
      </c>
      <c r="Q13" s="30">
        <f t="shared" si="5"/>
        <v>0</v>
      </c>
      <c r="R13" s="5"/>
      <c r="S13" s="5"/>
      <c r="T13" s="5"/>
      <c r="U13" s="5"/>
      <c r="V13" s="5"/>
    </row>
    <row r="14" spans="1:22" ht="15.75" x14ac:dyDescent="0.25">
      <c r="A14" s="13">
        <f>A13+1</f>
        <v>9</v>
      </c>
      <c r="B14" s="13" t="s">
        <v>31</v>
      </c>
      <c r="C14" s="36">
        <v>8000</v>
      </c>
      <c r="D14" s="36">
        <v>7635.5611707720627</v>
      </c>
      <c r="E14" s="36">
        <v>364.43882922793728</v>
      </c>
      <c r="F14" s="28">
        <v>5000</v>
      </c>
      <c r="G14" s="28">
        <f>'[1]CHEQUES OPS'!$AA$183+'[1]USD OP'!$J$75</f>
        <v>4920.1163707317219</v>
      </c>
      <c r="H14" s="29">
        <f t="shared" si="1"/>
        <v>0.98402327414634438</v>
      </c>
      <c r="I14" s="24">
        <f t="shared" ref="I14:I35" si="12">F14-G14</f>
        <v>79.883629268278128</v>
      </c>
      <c r="J14" s="30">
        <f t="shared" ref="J14:J39" si="13">I14/F14</f>
        <v>1.5976725853655626E-2</v>
      </c>
      <c r="K14" s="28">
        <f t="shared" si="11"/>
        <v>5000</v>
      </c>
      <c r="L14" s="31">
        <f t="shared" ref="L14:L39" si="14">F14-K14</f>
        <v>0</v>
      </c>
      <c r="M14" s="30">
        <f t="shared" si="0"/>
        <v>1</v>
      </c>
      <c r="N14" s="13"/>
      <c r="O14" s="28">
        <v>10000</v>
      </c>
      <c r="P14" s="28">
        <f t="shared" si="4"/>
        <v>5000</v>
      </c>
      <c r="Q14" s="30">
        <f t="shared" si="5"/>
        <v>0.5</v>
      </c>
      <c r="R14" s="5"/>
      <c r="S14" s="5"/>
      <c r="T14" s="5"/>
      <c r="U14" s="5"/>
      <c r="V14" s="5"/>
    </row>
    <row r="15" spans="1:22" ht="15.75" x14ac:dyDescent="0.25">
      <c r="A15" s="13">
        <f t="shared" ref="A15:A36" si="15">A14+1</f>
        <v>10</v>
      </c>
      <c r="B15" s="13" t="s">
        <v>32</v>
      </c>
      <c r="C15" s="36">
        <v>5000</v>
      </c>
      <c r="D15" s="36">
        <v>3926.4518058148969</v>
      </c>
      <c r="E15" s="36">
        <v>1073.5481941851031</v>
      </c>
      <c r="F15" s="28">
        <v>5000</v>
      </c>
      <c r="G15" s="28">
        <f>'[1]CHEQUES OPS'!$R$183+'[1]USD OP'!$R$75</f>
        <v>1348.7096705937643</v>
      </c>
      <c r="H15" s="29">
        <f t="shared" si="1"/>
        <v>0.26974193411875286</v>
      </c>
      <c r="I15" s="24">
        <f t="shared" si="12"/>
        <v>3651.2903294062357</v>
      </c>
      <c r="J15" s="30">
        <f t="shared" si="13"/>
        <v>0.7302580658812472</v>
      </c>
      <c r="K15" s="28">
        <f t="shared" si="11"/>
        <v>5000</v>
      </c>
      <c r="L15" s="31">
        <f t="shared" si="14"/>
        <v>0</v>
      </c>
      <c r="M15" s="30">
        <f t="shared" si="0"/>
        <v>1</v>
      </c>
      <c r="N15" s="13" t="s">
        <v>9</v>
      </c>
      <c r="O15" s="28">
        <v>5000</v>
      </c>
      <c r="P15" s="28">
        <f t="shared" si="4"/>
        <v>0</v>
      </c>
      <c r="Q15" s="30">
        <f t="shared" si="5"/>
        <v>0</v>
      </c>
      <c r="R15" s="5"/>
      <c r="S15" s="5"/>
      <c r="T15" s="5"/>
      <c r="U15" s="5"/>
      <c r="V15" s="5"/>
    </row>
    <row r="16" spans="1:22" ht="15.75" x14ac:dyDescent="0.25">
      <c r="A16" s="13">
        <f t="shared" si="15"/>
        <v>11</v>
      </c>
      <c r="B16" s="15" t="s">
        <v>53</v>
      </c>
      <c r="C16" s="36">
        <v>45000</v>
      </c>
      <c r="D16" s="36">
        <v>44759.345578812812</v>
      </c>
      <c r="E16" s="36">
        <v>240.65442118718784</v>
      </c>
      <c r="F16" s="28">
        <v>50000</v>
      </c>
      <c r="G16" s="28">
        <f>'[1]CHEQUES OPS'!$W$183+'[1]USD OP'!$G$75</f>
        <v>13507.479201977614</v>
      </c>
      <c r="H16" s="29">
        <f t="shared" si="1"/>
        <v>0.2701495840395523</v>
      </c>
      <c r="I16" s="24">
        <f t="shared" si="12"/>
        <v>36492.520798022386</v>
      </c>
      <c r="J16" s="30">
        <f t="shared" si="13"/>
        <v>0.72985041596044775</v>
      </c>
      <c r="K16" s="28">
        <f t="shared" si="11"/>
        <v>50000</v>
      </c>
      <c r="L16" s="31">
        <f t="shared" si="14"/>
        <v>0</v>
      </c>
      <c r="M16" s="30">
        <f t="shared" si="0"/>
        <v>1</v>
      </c>
      <c r="N16" s="13" t="s">
        <v>10</v>
      </c>
      <c r="O16" s="28">
        <v>50000</v>
      </c>
      <c r="P16" s="28">
        <f t="shared" si="4"/>
        <v>0</v>
      </c>
      <c r="Q16" s="30">
        <f t="shared" si="5"/>
        <v>0</v>
      </c>
      <c r="R16" s="5"/>
      <c r="S16" s="5"/>
      <c r="T16" s="5"/>
      <c r="U16" s="5"/>
      <c r="V16" s="5"/>
    </row>
    <row r="17" spans="1:22" ht="15.75" customHeight="1" x14ac:dyDescent="0.25">
      <c r="A17" s="13">
        <f t="shared" si="15"/>
        <v>12</v>
      </c>
      <c r="B17" s="15" t="s">
        <v>54</v>
      </c>
      <c r="C17" s="36">
        <v>5000</v>
      </c>
      <c r="D17" s="36">
        <v>1965</v>
      </c>
      <c r="E17" s="36">
        <v>3035</v>
      </c>
      <c r="F17" s="28">
        <v>5000</v>
      </c>
      <c r="G17" s="28">
        <v>3000</v>
      </c>
      <c r="H17" s="29">
        <f t="shared" si="1"/>
        <v>0.6</v>
      </c>
      <c r="I17" s="24">
        <f t="shared" si="12"/>
        <v>2000</v>
      </c>
      <c r="J17" s="30">
        <f t="shared" si="13"/>
        <v>0.4</v>
      </c>
      <c r="K17" s="28">
        <f t="shared" si="11"/>
        <v>5000</v>
      </c>
      <c r="L17" s="31">
        <f t="shared" si="14"/>
        <v>0</v>
      </c>
      <c r="M17" s="30">
        <f t="shared" si="0"/>
        <v>1</v>
      </c>
      <c r="N17" s="13" t="s">
        <v>11</v>
      </c>
      <c r="O17" s="28">
        <v>5000</v>
      </c>
      <c r="P17" s="28">
        <f t="shared" si="4"/>
        <v>0</v>
      </c>
      <c r="Q17" s="30">
        <f t="shared" si="5"/>
        <v>0</v>
      </c>
      <c r="R17" s="5"/>
      <c r="S17" s="5"/>
      <c r="T17" s="5"/>
      <c r="U17" s="5"/>
      <c r="V17" s="5"/>
    </row>
    <row r="18" spans="1:22" ht="15.75" x14ac:dyDescent="0.25">
      <c r="A18" s="13">
        <f t="shared" si="15"/>
        <v>13</v>
      </c>
      <c r="B18" s="13" t="s">
        <v>33</v>
      </c>
      <c r="C18" s="36">
        <v>5000</v>
      </c>
      <c r="D18" s="36">
        <v>4846.0095032638646</v>
      </c>
      <c r="E18" s="36">
        <v>153.99049673613536</v>
      </c>
      <c r="F18" s="28">
        <v>8000</v>
      </c>
      <c r="G18" s="28">
        <f>'[1]CHEQUES OPS'!$AD$183+'[1]USD OP'!$P$75+3000</f>
        <v>4269.9620692460621</v>
      </c>
      <c r="H18" s="29">
        <f t="shared" si="1"/>
        <v>0.53374525865575773</v>
      </c>
      <c r="I18" s="24">
        <f t="shared" si="12"/>
        <v>3730.0379307539379</v>
      </c>
      <c r="J18" s="30">
        <f t="shared" si="13"/>
        <v>0.46625474134424222</v>
      </c>
      <c r="K18" s="28">
        <f t="shared" si="11"/>
        <v>8000</v>
      </c>
      <c r="L18" s="31">
        <f t="shared" si="14"/>
        <v>0</v>
      </c>
      <c r="M18" s="30">
        <f t="shared" si="0"/>
        <v>1</v>
      </c>
      <c r="N18" s="13"/>
      <c r="O18" s="28">
        <v>8000</v>
      </c>
      <c r="P18" s="28">
        <f t="shared" si="4"/>
        <v>0</v>
      </c>
      <c r="Q18" s="30">
        <f t="shared" si="5"/>
        <v>0</v>
      </c>
      <c r="R18" s="5"/>
      <c r="S18" s="5"/>
      <c r="T18" s="5"/>
      <c r="U18" s="5"/>
      <c r="V18" s="5"/>
    </row>
    <row r="19" spans="1:22" ht="15.75" x14ac:dyDescent="0.25">
      <c r="A19" s="13">
        <f t="shared" si="15"/>
        <v>14</v>
      </c>
      <c r="B19" s="13" t="s">
        <v>34</v>
      </c>
      <c r="C19" s="36">
        <v>8000</v>
      </c>
      <c r="D19" s="38">
        <v>7560.3258359877173</v>
      </c>
      <c r="E19" s="36">
        <v>439.67416401228274</v>
      </c>
      <c r="F19" s="28">
        <v>8000</v>
      </c>
      <c r="G19" s="33">
        <f>'[1]CHEQUES OPS'!$N$183+'[1]CHEQUES OPS'!$X$184+2000</f>
        <v>2830.8049270917895</v>
      </c>
      <c r="H19" s="29">
        <f t="shared" si="1"/>
        <v>0.35385061588647371</v>
      </c>
      <c r="I19" s="24">
        <f t="shared" si="12"/>
        <v>5169.1950729082109</v>
      </c>
      <c r="J19" s="30">
        <f t="shared" si="13"/>
        <v>0.6461493841135264</v>
      </c>
      <c r="K19" s="28">
        <f t="shared" si="11"/>
        <v>8000</v>
      </c>
      <c r="L19" s="31">
        <f t="shared" si="14"/>
        <v>0</v>
      </c>
      <c r="M19" s="30">
        <f t="shared" si="0"/>
        <v>1</v>
      </c>
      <c r="N19" s="13"/>
      <c r="O19" s="28">
        <v>8000</v>
      </c>
      <c r="P19" s="28">
        <f t="shared" si="4"/>
        <v>0</v>
      </c>
      <c r="Q19" s="30">
        <f t="shared" si="5"/>
        <v>0</v>
      </c>
      <c r="R19" s="5"/>
      <c r="S19" s="5"/>
      <c r="T19" s="5"/>
      <c r="U19" s="5"/>
      <c r="V19" s="5"/>
    </row>
    <row r="20" spans="1:22" ht="29.25" x14ac:dyDescent="0.25">
      <c r="A20" s="13">
        <f t="shared" si="15"/>
        <v>15</v>
      </c>
      <c r="B20" s="15" t="s">
        <v>35</v>
      </c>
      <c r="C20" s="36">
        <v>5690</v>
      </c>
      <c r="D20" s="36">
        <v>5552.16</v>
      </c>
      <c r="E20" s="36">
        <v>137.84000000000015</v>
      </c>
      <c r="F20" s="28">
        <v>5000</v>
      </c>
      <c r="G20" s="28">
        <f>'[1]CHEQUES OPS'!$AH$183+'[1]USD OP'!$P$75</f>
        <v>1735.3493720015572</v>
      </c>
      <c r="H20" s="29">
        <f t="shared" si="1"/>
        <v>0.34706987440031145</v>
      </c>
      <c r="I20" s="24">
        <f t="shared" si="12"/>
        <v>3264.6506279984428</v>
      </c>
      <c r="J20" s="30">
        <f t="shared" si="13"/>
        <v>0.65293012559968855</v>
      </c>
      <c r="K20" s="28">
        <f t="shared" si="11"/>
        <v>5000</v>
      </c>
      <c r="L20" s="31">
        <f t="shared" si="14"/>
        <v>0</v>
      </c>
      <c r="M20" s="30">
        <f t="shared" si="0"/>
        <v>1</v>
      </c>
      <c r="N20" s="13"/>
      <c r="O20" s="28">
        <v>5000</v>
      </c>
      <c r="P20" s="28">
        <f t="shared" si="4"/>
        <v>0</v>
      </c>
      <c r="Q20" s="30">
        <f t="shared" si="5"/>
        <v>0</v>
      </c>
      <c r="R20" s="5"/>
      <c r="S20" s="5"/>
      <c r="T20" s="5"/>
      <c r="U20" s="5"/>
      <c r="V20" s="5"/>
    </row>
    <row r="21" spans="1:22" ht="15.75" x14ac:dyDescent="0.25">
      <c r="A21" s="13">
        <f t="shared" si="15"/>
        <v>16</v>
      </c>
      <c r="B21" s="15" t="s">
        <v>60</v>
      </c>
      <c r="C21" s="36"/>
      <c r="D21" s="36"/>
      <c r="E21" s="36"/>
      <c r="F21" s="28"/>
      <c r="G21" s="28"/>
      <c r="H21" s="29"/>
      <c r="I21" s="24"/>
      <c r="J21" s="30"/>
      <c r="K21" s="28"/>
      <c r="L21" s="31"/>
      <c r="M21" s="30"/>
      <c r="N21" s="13"/>
      <c r="O21" s="28">
        <v>3000</v>
      </c>
      <c r="P21" s="28"/>
      <c r="Q21" s="30"/>
      <c r="S21" s="5"/>
      <c r="T21" s="5"/>
      <c r="U21" s="5"/>
      <c r="V21" s="5"/>
    </row>
    <row r="22" spans="1:22" ht="15.75" x14ac:dyDescent="0.25">
      <c r="A22" s="13">
        <f t="shared" si="15"/>
        <v>17</v>
      </c>
      <c r="B22" s="13" t="s">
        <v>36</v>
      </c>
      <c r="C22" s="36">
        <v>20910</v>
      </c>
      <c r="D22" s="36">
        <v>20909.558174386919</v>
      </c>
      <c r="E22" s="36">
        <v>0.44182561308116419</v>
      </c>
      <c r="F22" s="28">
        <v>30000</v>
      </c>
      <c r="G22" s="28">
        <f>'[1]CHEQUES OPS'!$AC$183+'[1]USD OP'!$K$75</f>
        <v>0</v>
      </c>
      <c r="H22" s="29">
        <f t="shared" si="1"/>
        <v>0</v>
      </c>
      <c r="I22" s="24">
        <f t="shared" si="12"/>
        <v>30000</v>
      </c>
      <c r="J22" s="30">
        <f t="shared" si="13"/>
        <v>1</v>
      </c>
      <c r="K22" s="28">
        <f t="shared" si="11"/>
        <v>30000</v>
      </c>
      <c r="L22" s="31">
        <f t="shared" si="14"/>
        <v>0</v>
      </c>
      <c r="M22" s="30">
        <f t="shared" si="0"/>
        <v>1</v>
      </c>
      <c r="N22" s="13"/>
      <c r="O22" s="28">
        <v>30000</v>
      </c>
      <c r="P22" s="28">
        <f t="shared" si="4"/>
        <v>0</v>
      </c>
      <c r="Q22" s="30">
        <f t="shared" si="5"/>
        <v>0</v>
      </c>
      <c r="R22" s="5"/>
      <c r="S22" s="5"/>
      <c r="T22" s="5"/>
      <c r="U22" s="5"/>
      <c r="V22" s="5"/>
    </row>
    <row r="23" spans="1:22" ht="15.75" x14ac:dyDescent="0.25">
      <c r="A23" s="13">
        <f t="shared" si="15"/>
        <v>18</v>
      </c>
      <c r="B23" s="13" t="s">
        <v>37</v>
      </c>
      <c r="C23" s="36">
        <v>7000</v>
      </c>
      <c r="D23" s="36">
        <v>0</v>
      </c>
      <c r="E23" s="36">
        <v>7000</v>
      </c>
      <c r="F23" s="28">
        <v>7000</v>
      </c>
      <c r="G23" s="28">
        <f>'[1]USD OP'!$O$75</f>
        <v>0</v>
      </c>
      <c r="H23" s="29">
        <f t="shared" si="1"/>
        <v>0</v>
      </c>
      <c r="I23" s="24">
        <f t="shared" si="12"/>
        <v>7000</v>
      </c>
      <c r="J23" s="30">
        <f t="shared" si="13"/>
        <v>1</v>
      </c>
      <c r="K23" s="28">
        <f t="shared" si="11"/>
        <v>7000</v>
      </c>
      <c r="L23" s="31">
        <f t="shared" si="14"/>
        <v>0</v>
      </c>
      <c r="M23" s="30">
        <f t="shared" si="0"/>
        <v>1</v>
      </c>
      <c r="N23" s="13" t="s">
        <v>12</v>
      </c>
      <c r="O23" s="28">
        <v>7000</v>
      </c>
      <c r="P23" s="28">
        <f t="shared" si="4"/>
        <v>0</v>
      </c>
      <c r="Q23" s="30">
        <f t="shared" si="5"/>
        <v>0</v>
      </c>
      <c r="R23" s="5"/>
      <c r="S23" s="5"/>
      <c r="T23" s="5"/>
      <c r="U23" s="5"/>
      <c r="V23" s="5"/>
    </row>
    <row r="24" spans="1:22" ht="15.75" x14ac:dyDescent="0.25">
      <c r="A24" s="13">
        <f t="shared" si="15"/>
        <v>19</v>
      </c>
      <c r="B24" s="13" t="s">
        <v>38</v>
      </c>
      <c r="C24" s="36">
        <v>7000</v>
      </c>
      <c r="D24" s="36">
        <v>4699.8893069926771</v>
      </c>
      <c r="E24" s="36">
        <v>2300.1106930073229</v>
      </c>
      <c r="F24" s="28">
        <v>7000</v>
      </c>
      <c r="G24" s="28">
        <f>'[1]CHEQUES OPS'!$AE$183+'[1]USD OP'!$L$75</f>
        <v>6166.99</v>
      </c>
      <c r="H24" s="29">
        <f t="shared" si="1"/>
        <v>0.88099857142857141</v>
      </c>
      <c r="I24" s="24">
        <f t="shared" si="12"/>
        <v>833.01000000000022</v>
      </c>
      <c r="J24" s="30">
        <f t="shared" si="13"/>
        <v>0.11900142857142861</v>
      </c>
      <c r="K24" s="28">
        <f t="shared" si="11"/>
        <v>7000</v>
      </c>
      <c r="L24" s="31">
        <f t="shared" si="14"/>
        <v>0</v>
      </c>
      <c r="M24" s="30">
        <f t="shared" si="0"/>
        <v>1</v>
      </c>
      <c r="N24" s="13"/>
      <c r="O24" s="28">
        <v>7000</v>
      </c>
      <c r="P24" s="28">
        <f t="shared" si="4"/>
        <v>0</v>
      </c>
      <c r="Q24" s="30">
        <f t="shared" si="5"/>
        <v>0</v>
      </c>
      <c r="R24" s="5"/>
      <c r="S24" s="5"/>
      <c r="T24" s="5"/>
      <c r="U24" s="5"/>
      <c r="V24" s="5"/>
    </row>
    <row r="25" spans="1:22" ht="15.75" x14ac:dyDescent="0.25">
      <c r="A25" s="13">
        <f t="shared" si="15"/>
        <v>20</v>
      </c>
      <c r="B25" s="13" t="s">
        <v>39</v>
      </c>
      <c r="C25" s="36">
        <v>8000</v>
      </c>
      <c r="D25" s="36">
        <v>6631.1962218805002</v>
      </c>
      <c r="E25" s="36">
        <v>1368.8037781194998</v>
      </c>
      <c r="F25" s="28">
        <v>8000</v>
      </c>
      <c r="G25" s="28">
        <f>'[1]CHEQUES OPS'!$I$183+'[1]CHEQUES OPS'!$V$75+2000</f>
        <v>3639.2520924818919</v>
      </c>
      <c r="H25" s="29">
        <f t="shared" si="1"/>
        <v>0.45490651156023648</v>
      </c>
      <c r="I25" s="24">
        <f t="shared" si="12"/>
        <v>4360.7479075181081</v>
      </c>
      <c r="J25" s="30">
        <f t="shared" si="13"/>
        <v>0.54509348843976357</v>
      </c>
      <c r="K25" s="28">
        <f t="shared" si="11"/>
        <v>8000</v>
      </c>
      <c r="L25" s="31">
        <f t="shared" si="14"/>
        <v>0</v>
      </c>
      <c r="M25" s="30">
        <f t="shared" si="0"/>
        <v>1</v>
      </c>
      <c r="N25" s="13" t="s">
        <v>13</v>
      </c>
      <c r="O25" s="28">
        <v>8000</v>
      </c>
      <c r="P25" s="28">
        <f t="shared" si="4"/>
        <v>0</v>
      </c>
      <c r="Q25" s="30">
        <f t="shared" si="5"/>
        <v>0</v>
      </c>
      <c r="R25" s="5"/>
      <c r="S25" s="5"/>
      <c r="T25" s="5"/>
      <c r="U25" s="5"/>
      <c r="V25" s="5"/>
    </row>
    <row r="26" spans="1:22" ht="15.75" x14ac:dyDescent="0.25">
      <c r="A26" s="13">
        <f t="shared" si="15"/>
        <v>21</v>
      </c>
      <c r="B26" s="13" t="s">
        <v>40</v>
      </c>
      <c r="C26" s="36">
        <v>4000</v>
      </c>
      <c r="D26" s="36">
        <v>1515.2901024748771</v>
      </c>
      <c r="E26" s="36">
        <v>2484.7098975251229</v>
      </c>
      <c r="F26" s="28">
        <v>2000</v>
      </c>
      <c r="G26" s="33">
        <f>'[1]CHEQUES OPS'!$T$183</f>
        <v>0</v>
      </c>
      <c r="H26" s="29">
        <f t="shared" si="1"/>
        <v>0</v>
      </c>
      <c r="I26" s="24">
        <f t="shared" si="12"/>
        <v>2000</v>
      </c>
      <c r="J26" s="30">
        <f t="shared" si="13"/>
        <v>1</v>
      </c>
      <c r="K26" s="28">
        <f t="shared" si="11"/>
        <v>2000</v>
      </c>
      <c r="L26" s="31">
        <f t="shared" si="14"/>
        <v>0</v>
      </c>
      <c r="M26" s="30">
        <f t="shared" si="0"/>
        <v>1</v>
      </c>
      <c r="N26" s="13" t="s">
        <v>14</v>
      </c>
      <c r="O26" s="28">
        <v>1600</v>
      </c>
      <c r="P26" s="28">
        <f t="shared" si="4"/>
        <v>-400</v>
      </c>
      <c r="Q26" s="30">
        <f t="shared" si="5"/>
        <v>-0.25</v>
      </c>
      <c r="R26" s="49"/>
      <c r="S26" s="5"/>
      <c r="T26" s="5"/>
      <c r="U26" s="5"/>
      <c r="V26" s="5"/>
    </row>
    <row r="27" spans="1:22" ht="15.75" x14ac:dyDescent="0.25">
      <c r="A27" s="13">
        <f t="shared" si="15"/>
        <v>22</v>
      </c>
      <c r="B27" s="13" t="s">
        <v>41</v>
      </c>
      <c r="C27" s="36">
        <v>2000</v>
      </c>
      <c r="D27" s="36">
        <v>971.35178166137564</v>
      </c>
      <c r="E27" s="36">
        <v>1028.6482183386242</v>
      </c>
      <c r="F27" s="28">
        <v>2000</v>
      </c>
      <c r="G27" s="28">
        <f>'[1]CHEQUES OPS'!$H$190</f>
        <v>1066.0513160761082</v>
      </c>
      <c r="H27" s="29">
        <f t="shared" si="1"/>
        <v>0.53302565803805413</v>
      </c>
      <c r="I27" s="24">
        <f t="shared" si="12"/>
        <v>933.94868392389185</v>
      </c>
      <c r="J27" s="30">
        <f t="shared" si="13"/>
        <v>0.46697434196194593</v>
      </c>
      <c r="K27" s="28">
        <f t="shared" si="11"/>
        <v>2000</v>
      </c>
      <c r="L27" s="31">
        <f t="shared" si="14"/>
        <v>0</v>
      </c>
      <c r="M27" s="30">
        <f t="shared" si="0"/>
        <v>1</v>
      </c>
      <c r="N27" s="13" t="s">
        <v>15</v>
      </c>
      <c r="O27" s="28">
        <v>2000</v>
      </c>
      <c r="P27" s="28">
        <f t="shared" si="4"/>
        <v>0</v>
      </c>
      <c r="Q27" s="30">
        <f t="shared" si="5"/>
        <v>0</v>
      </c>
      <c r="S27" s="5"/>
      <c r="T27" s="5"/>
      <c r="U27" s="5"/>
      <c r="V27" s="5"/>
    </row>
    <row r="28" spans="1:22" ht="30" customHeight="1" x14ac:dyDescent="0.25">
      <c r="A28" s="13">
        <f t="shared" si="15"/>
        <v>23</v>
      </c>
      <c r="B28" s="15" t="s">
        <v>91</v>
      </c>
      <c r="C28" s="36">
        <v>10000</v>
      </c>
      <c r="D28" s="38">
        <v>10035.931026492879</v>
      </c>
      <c r="E28" s="36">
        <v>-35.931026492879028</v>
      </c>
      <c r="F28" s="28">
        <v>12000</v>
      </c>
      <c r="G28" s="28">
        <f>'[1]CHEQUES OPS'!$J$183*8/13</f>
        <v>7000.4064875158365</v>
      </c>
      <c r="H28" s="29">
        <f t="shared" si="1"/>
        <v>0.58336720729298641</v>
      </c>
      <c r="I28" s="24">
        <f t="shared" si="12"/>
        <v>4999.5935124841635</v>
      </c>
      <c r="J28" s="30">
        <f t="shared" si="13"/>
        <v>0.41663279270701364</v>
      </c>
      <c r="K28" s="28">
        <f t="shared" si="11"/>
        <v>12000</v>
      </c>
      <c r="L28" s="31">
        <f t="shared" si="14"/>
        <v>0</v>
      </c>
      <c r="M28" s="30">
        <f t="shared" si="0"/>
        <v>1</v>
      </c>
      <c r="N28" s="13"/>
      <c r="O28" s="28">
        <v>15000</v>
      </c>
      <c r="P28" s="28">
        <f t="shared" si="4"/>
        <v>3000</v>
      </c>
      <c r="Q28" s="30">
        <f t="shared" si="5"/>
        <v>0.2</v>
      </c>
      <c r="R28" s="5"/>
      <c r="S28" s="5"/>
      <c r="T28" s="5"/>
      <c r="U28" s="5"/>
      <c r="V28" s="5"/>
    </row>
    <row r="29" spans="1:22" ht="30.75" customHeight="1" x14ac:dyDescent="0.25">
      <c r="A29" s="13">
        <f t="shared" si="15"/>
        <v>24</v>
      </c>
      <c r="B29" s="15" t="s">
        <v>92</v>
      </c>
      <c r="C29" s="36">
        <v>25000</v>
      </c>
      <c r="D29" s="36">
        <v>24777.610394131556</v>
      </c>
      <c r="E29" s="36">
        <v>222.38960586844405</v>
      </c>
      <c r="F29" s="28">
        <v>25000</v>
      </c>
      <c r="G29" s="28">
        <f>('[1]CHEQUES OPS'!$K$183*8/13+'[1]CHEQUES OPS'!$L$183*8/13+'[1]CHEQUES OPS'!$S$183+'[1]USD OP'!$N$75)-4000</f>
        <v>13168.076951488853</v>
      </c>
      <c r="H29" s="29">
        <f t="shared" si="1"/>
        <v>0.5267230780595541</v>
      </c>
      <c r="I29" s="24">
        <f t="shared" si="12"/>
        <v>11831.923048511147</v>
      </c>
      <c r="J29" s="30">
        <f t="shared" si="13"/>
        <v>0.4732769219404459</v>
      </c>
      <c r="K29" s="28">
        <f t="shared" si="11"/>
        <v>25000</v>
      </c>
      <c r="L29" s="31">
        <f t="shared" si="14"/>
        <v>0</v>
      </c>
      <c r="M29" s="30">
        <f t="shared" si="0"/>
        <v>1</v>
      </c>
      <c r="N29" s="13" t="s">
        <v>16</v>
      </c>
      <c r="O29" s="28">
        <v>30000</v>
      </c>
      <c r="P29" s="28">
        <f t="shared" si="4"/>
        <v>5000</v>
      </c>
      <c r="Q29" s="30">
        <f t="shared" si="5"/>
        <v>0.16666666666666666</v>
      </c>
      <c r="R29" s="5"/>
      <c r="S29" s="5"/>
      <c r="T29" s="5"/>
      <c r="U29" s="5"/>
      <c r="V29" s="5"/>
    </row>
    <row r="30" spans="1:22" ht="15.75" x14ac:dyDescent="0.25">
      <c r="A30" s="13">
        <f t="shared" si="15"/>
        <v>25</v>
      </c>
      <c r="B30" s="13" t="s">
        <v>90</v>
      </c>
      <c r="C30" s="36">
        <v>3000</v>
      </c>
      <c r="D30" s="36">
        <v>2276.6813543407907</v>
      </c>
      <c r="E30" s="36">
        <v>723.31864565920932</v>
      </c>
      <c r="F30" s="28">
        <v>5000</v>
      </c>
      <c r="G30" s="28">
        <f>'[1]CHEQUES OPS'!$M$183</f>
        <v>2402.0377123798326</v>
      </c>
      <c r="H30" s="29">
        <f t="shared" si="1"/>
        <v>0.48040754247596651</v>
      </c>
      <c r="I30" s="24">
        <f t="shared" si="12"/>
        <v>2597.9622876201674</v>
      </c>
      <c r="J30" s="30">
        <f t="shared" si="13"/>
        <v>0.51959245752403349</v>
      </c>
      <c r="K30" s="28">
        <f t="shared" si="11"/>
        <v>5000</v>
      </c>
      <c r="L30" s="31">
        <f t="shared" si="14"/>
        <v>0</v>
      </c>
      <c r="M30" s="30">
        <f t="shared" si="0"/>
        <v>1</v>
      </c>
      <c r="N30" s="13" t="s">
        <v>17</v>
      </c>
      <c r="O30" s="28">
        <v>6000</v>
      </c>
      <c r="P30" s="28">
        <f t="shared" si="4"/>
        <v>1000</v>
      </c>
      <c r="Q30" s="30">
        <f t="shared" si="5"/>
        <v>0.16666666666666666</v>
      </c>
      <c r="R30" s="5"/>
      <c r="S30" s="5"/>
      <c r="T30" s="5"/>
      <c r="U30" s="5"/>
      <c r="V30" s="5"/>
    </row>
    <row r="31" spans="1:22" ht="15.75" x14ac:dyDescent="0.25">
      <c r="A31" s="13">
        <f t="shared" si="15"/>
        <v>26</v>
      </c>
      <c r="B31" s="13" t="s">
        <v>42</v>
      </c>
      <c r="C31" s="36">
        <v>1500</v>
      </c>
      <c r="D31" s="36">
        <v>599.6712114002097</v>
      </c>
      <c r="E31" s="36">
        <v>900.3287885997903</v>
      </c>
      <c r="F31" s="28">
        <v>1500</v>
      </c>
      <c r="G31" s="28">
        <f>'[1]CHEQUES OPS'!$P$183</f>
        <v>1099.7327094414713</v>
      </c>
      <c r="H31" s="29">
        <f t="shared" si="1"/>
        <v>0.73315513962764756</v>
      </c>
      <c r="I31" s="24">
        <f t="shared" si="12"/>
        <v>400.26729055852866</v>
      </c>
      <c r="J31" s="30">
        <f t="shared" si="13"/>
        <v>0.26684486037235244</v>
      </c>
      <c r="K31" s="28">
        <f t="shared" si="11"/>
        <v>1500</v>
      </c>
      <c r="L31" s="31">
        <f t="shared" si="14"/>
        <v>0</v>
      </c>
      <c r="M31" s="30">
        <f t="shared" si="0"/>
        <v>1</v>
      </c>
      <c r="N31" s="13" t="s">
        <v>18</v>
      </c>
      <c r="O31" s="28">
        <v>2000</v>
      </c>
      <c r="P31" s="28">
        <f t="shared" si="4"/>
        <v>500</v>
      </c>
      <c r="Q31" s="30">
        <f t="shared" si="5"/>
        <v>0.25</v>
      </c>
      <c r="R31" s="5"/>
      <c r="S31" s="5"/>
      <c r="T31" s="5"/>
      <c r="U31" s="5"/>
      <c r="V31" s="5"/>
    </row>
    <row r="32" spans="1:22" ht="15.75" x14ac:dyDescent="0.25">
      <c r="A32" s="13">
        <f t="shared" si="15"/>
        <v>27</v>
      </c>
      <c r="B32" s="13" t="s">
        <v>84</v>
      </c>
      <c r="C32" s="36">
        <v>1500</v>
      </c>
      <c r="D32" s="36">
        <v>1403.6126678703779</v>
      </c>
      <c r="E32" s="36">
        <v>96.387332129622109</v>
      </c>
      <c r="F32" s="28">
        <v>1500</v>
      </c>
      <c r="G32" s="28">
        <f>'[1]CHEQUES OPS'!$O$183</f>
        <v>744.34753941735494</v>
      </c>
      <c r="H32" s="29">
        <f t="shared" si="1"/>
        <v>0.49623169294490327</v>
      </c>
      <c r="I32" s="24">
        <f t="shared" si="12"/>
        <v>755.65246058264506</v>
      </c>
      <c r="J32" s="30">
        <f t="shared" si="13"/>
        <v>0.50376830705509668</v>
      </c>
      <c r="K32" s="28">
        <f t="shared" si="11"/>
        <v>1500</v>
      </c>
      <c r="L32" s="31">
        <f t="shared" si="14"/>
        <v>0</v>
      </c>
      <c r="M32" s="30">
        <f t="shared" si="0"/>
        <v>1</v>
      </c>
      <c r="N32" s="13" t="s">
        <v>18</v>
      </c>
      <c r="O32" s="28">
        <v>1500</v>
      </c>
      <c r="P32" s="28">
        <f t="shared" si="4"/>
        <v>0</v>
      </c>
      <c r="Q32" s="30">
        <f t="shared" si="5"/>
        <v>0</v>
      </c>
      <c r="R32" s="5"/>
      <c r="S32" s="5"/>
      <c r="T32" s="5"/>
      <c r="U32" s="5"/>
      <c r="V32" s="5"/>
    </row>
    <row r="33" spans="1:22" ht="15.75" x14ac:dyDescent="0.25">
      <c r="A33" s="13">
        <f t="shared" si="15"/>
        <v>28</v>
      </c>
      <c r="B33" s="13" t="s">
        <v>43</v>
      </c>
      <c r="C33" s="36">
        <v>7000</v>
      </c>
      <c r="D33" s="36">
        <v>3500</v>
      </c>
      <c r="E33" s="36">
        <v>3500</v>
      </c>
      <c r="F33" s="28">
        <v>7000</v>
      </c>
      <c r="G33" s="28">
        <f>'[1]CHEQUES OPS'!$AJ$183+'[1]USD OP'!$Q$75</f>
        <v>0</v>
      </c>
      <c r="H33" s="29">
        <f t="shared" si="1"/>
        <v>0</v>
      </c>
      <c r="I33" s="24">
        <f t="shared" si="12"/>
        <v>7000</v>
      </c>
      <c r="J33" s="30">
        <f t="shared" si="13"/>
        <v>1</v>
      </c>
      <c r="K33" s="28">
        <f t="shared" si="11"/>
        <v>7000</v>
      </c>
      <c r="L33" s="31">
        <f t="shared" si="14"/>
        <v>0</v>
      </c>
      <c r="M33" s="30">
        <f t="shared" si="0"/>
        <v>1</v>
      </c>
      <c r="N33" s="13" t="s">
        <v>19</v>
      </c>
      <c r="O33" s="28">
        <v>7000</v>
      </c>
      <c r="P33" s="28">
        <f t="shared" si="4"/>
        <v>0</v>
      </c>
      <c r="Q33" s="30">
        <f t="shared" si="5"/>
        <v>0</v>
      </c>
      <c r="R33" s="2"/>
      <c r="S33" s="2"/>
      <c r="T33" s="2"/>
      <c r="U33" s="2"/>
      <c r="V33" s="2"/>
    </row>
    <row r="34" spans="1:22" ht="15.75" x14ac:dyDescent="0.25">
      <c r="A34" s="13">
        <f t="shared" si="15"/>
        <v>29</v>
      </c>
      <c r="B34" s="13" t="s">
        <v>44</v>
      </c>
      <c r="C34" s="36">
        <v>1500</v>
      </c>
      <c r="D34" s="36">
        <v>1145.6702449408917</v>
      </c>
      <c r="E34" s="36">
        <v>354.32975505910827</v>
      </c>
      <c r="F34" s="28">
        <v>1500</v>
      </c>
      <c r="G34" s="28">
        <f>'[1]CHEQUES OPS'!$AB$183+'[1]USD OP'!$H$75</f>
        <v>352.38351043595912</v>
      </c>
      <c r="H34" s="29">
        <f t="shared" si="1"/>
        <v>0.23492234029063941</v>
      </c>
      <c r="I34" s="24">
        <f t="shared" si="12"/>
        <v>1147.6164895640409</v>
      </c>
      <c r="J34" s="30">
        <f t="shared" si="13"/>
        <v>0.76507765970936059</v>
      </c>
      <c r="K34" s="28">
        <f t="shared" si="11"/>
        <v>1500</v>
      </c>
      <c r="L34" s="31">
        <f t="shared" si="14"/>
        <v>0</v>
      </c>
      <c r="M34" s="30">
        <f t="shared" si="0"/>
        <v>1</v>
      </c>
      <c r="N34" s="13"/>
      <c r="O34" s="28">
        <v>1500</v>
      </c>
      <c r="P34" s="28">
        <f t="shared" si="4"/>
        <v>0</v>
      </c>
      <c r="Q34" s="30">
        <f t="shared" si="5"/>
        <v>0</v>
      </c>
      <c r="R34" s="2"/>
      <c r="S34" s="2"/>
      <c r="T34" s="2"/>
      <c r="U34" s="2"/>
      <c r="V34" s="2"/>
    </row>
    <row r="35" spans="1:22" ht="30.75" customHeight="1" x14ac:dyDescent="0.3">
      <c r="A35" s="13">
        <f t="shared" si="15"/>
        <v>30</v>
      </c>
      <c r="B35" s="15" t="s">
        <v>88</v>
      </c>
      <c r="C35" s="36">
        <v>10000</v>
      </c>
      <c r="D35" s="36">
        <v>8476.7111024135356</v>
      </c>
      <c r="E35" s="36">
        <v>1523.2888975864644</v>
      </c>
      <c r="F35" s="28">
        <v>10000</v>
      </c>
      <c r="G35" s="28">
        <f>'[1]CHEQUES OPS'!$Z$183</f>
        <v>2276.9832222500372</v>
      </c>
      <c r="H35" s="29">
        <f t="shared" si="1"/>
        <v>0.22769832222500372</v>
      </c>
      <c r="I35" s="24">
        <f t="shared" si="12"/>
        <v>7723.0167777499628</v>
      </c>
      <c r="J35" s="30">
        <f t="shared" si="13"/>
        <v>0.77230167777499625</v>
      </c>
      <c r="K35" s="28">
        <f t="shared" si="11"/>
        <v>10000</v>
      </c>
      <c r="L35" s="31">
        <f t="shared" si="14"/>
        <v>0</v>
      </c>
      <c r="M35" s="30">
        <f t="shared" si="0"/>
        <v>1</v>
      </c>
      <c r="N35" s="13" t="s">
        <v>20</v>
      </c>
      <c r="O35" s="28">
        <v>15000</v>
      </c>
      <c r="P35" s="28">
        <f t="shared" si="4"/>
        <v>5000</v>
      </c>
      <c r="Q35" s="30">
        <f t="shared" si="5"/>
        <v>0.33333333333333331</v>
      </c>
      <c r="R35" s="6"/>
      <c r="S35" s="6"/>
      <c r="T35" s="6"/>
      <c r="U35" s="6"/>
      <c r="V35" s="6"/>
    </row>
    <row r="36" spans="1:22" ht="18.75" x14ac:dyDescent="0.3">
      <c r="A36" s="13">
        <f t="shared" si="15"/>
        <v>31</v>
      </c>
      <c r="B36" s="15" t="s">
        <v>85</v>
      </c>
      <c r="C36" s="36"/>
      <c r="D36" s="36"/>
      <c r="E36" s="36"/>
      <c r="F36" s="28"/>
      <c r="G36" s="28"/>
      <c r="H36" s="29"/>
      <c r="I36" s="24"/>
      <c r="J36" s="30"/>
      <c r="K36" s="28"/>
      <c r="L36" s="31"/>
      <c r="M36" s="30"/>
      <c r="N36" s="13"/>
      <c r="O36" s="28">
        <v>10000</v>
      </c>
      <c r="P36" s="28">
        <f t="shared" si="4"/>
        <v>10000</v>
      </c>
      <c r="Q36" s="30">
        <f t="shared" si="5"/>
        <v>1</v>
      </c>
      <c r="R36" s="6"/>
      <c r="S36" s="6"/>
      <c r="T36" s="6"/>
      <c r="U36" s="6"/>
      <c r="V36" s="6"/>
    </row>
    <row r="37" spans="1:22" ht="18.75" x14ac:dyDescent="0.3">
      <c r="A37" s="13">
        <v>32</v>
      </c>
      <c r="B37" s="15" t="s">
        <v>89</v>
      </c>
      <c r="C37" s="36"/>
      <c r="D37" s="36"/>
      <c r="E37" s="36"/>
      <c r="F37" s="28"/>
      <c r="G37" s="28"/>
      <c r="H37" s="29"/>
      <c r="I37" s="24"/>
      <c r="J37" s="30"/>
      <c r="K37" s="28"/>
      <c r="L37" s="31"/>
      <c r="M37" s="30"/>
      <c r="N37" s="13"/>
      <c r="O37" s="28">
        <v>10000</v>
      </c>
      <c r="P37" s="28">
        <f t="shared" si="4"/>
        <v>10000</v>
      </c>
      <c r="Q37" s="30">
        <f t="shared" si="5"/>
        <v>1</v>
      </c>
      <c r="R37" s="6"/>
      <c r="S37" s="6"/>
      <c r="T37" s="6"/>
      <c r="U37" s="6"/>
      <c r="V37" s="6"/>
    </row>
    <row r="38" spans="1:22" ht="18.75" x14ac:dyDescent="0.3">
      <c r="A38" s="14"/>
      <c r="B38" s="14" t="s">
        <v>45</v>
      </c>
      <c r="C38" s="37">
        <v>205100</v>
      </c>
      <c r="D38" s="37">
        <v>177138.02748363797</v>
      </c>
      <c r="E38" s="37">
        <v>27961.972516362053</v>
      </c>
      <c r="F38" s="24">
        <v>220500</v>
      </c>
      <c r="G38" s="24">
        <f>SUM(G13:G36)</f>
        <v>75298.683153129852</v>
      </c>
      <c r="H38" s="29">
        <f t="shared" si="1"/>
        <v>0.34149062654480661</v>
      </c>
      <c r="I38" s="24">
        <f>SUM(I13:I36)</f>
        <v>145201.31684687015</v>
      </c>
      <c r="J38" s="30">
        <f t="shared" si="13"/>
        <v>0.65850937345519345</v>
      </c>
      <c r="K38" s="24">
        <f>SUM(K13:K36)</f>
        <v>220500</v>
      </c>
      <c r="L38" s="31">
        <f t="shared" si="14"/>
        <v>0</v>
      </c>
      <c r="M38" s="30">
        <f t="shared" si="0"/>
        <v>1</v>
      </c>
      <c r="N38" s="14"/>
      <c r="O38" s="24">
        <f>SUM(O13:O37)</f>
        <v>262600</v>
      </c>
      <c r="P38" s="28">
        <f t="shared" si="4"/>
        <v>42100</v>
      </c>
      <c r="Q38" s="29">
        <f t="shared" si="5"/>
        <v>0.16031987814166032</v>
      </c>
      <c r="R38" s="6"/>
      <c r="S38" s="6"/>
      <c r="T38" s="6"/>
      <c r="U38" s="6"/>
      <c r="V38" s="6"/>
    </row>
    <row r="39" spans="1:22" ht="18.75" x14ac:dyDescent="0.3">
      <c r="A39" s="14"/>
      <c r="B39" s="14" t="s">
        <v>51</v>
      </c>
      <c r="C39" s="37">
        <v>921108.04999999993</v>
      </c>
      <c r="D39" s="37">
        <v>701046.72748363798</v>
      </c>
      <c r="E39" s="37">
        <v>220061.32251636204</v>
      </c>
      <c r="F39" s="24">
        <v>956770.71</v>
      </c>
      <c r="G39" s="24">
        <f>G12+G38</f>
        <v>431009.88315312983</v>
      </c>
      <c r="H39" s="29">
        <f t="shared" si="1"/>
        <v>0.45048398602537681</v>
      </c>
      <c r="I39" s="24">
        <f>I12+I38</f>
        <v>525760.82684687013</v>
      </c>
      <c r="J39" s="30">
        <f t="shared" si="13"/>
        <v>0.54951601397462324</v>
      </c>
      <c r="K39" s="24">
        <f>K12+K38</f>
        <v>956770.71</v>
      </c>
      <c r="L39" s="31">
        <f t="shared" si="14"/>
        <v>0</v>
      </c>
      <c r="M39" s="30">
        <f t="shared" si="0"/>
        <v>1</v>
      </c>
      <c r="N39" s="14"/>
      <c r="O39" s="24">
        <f>O12+O38</f>
        <v>999430.11</v>
      </c>
      <c r="P39" s="28">
        <f t="shared" si="4"/>
        <v>42659.400000000023</v>
      </c>
      <c r="Q39" s="29">
        <f t="shared" si="5"/>
        <v>4.2683725028056264E-2</v>
      </c>
      <c r="R39" s="6"/>
      <c r="S39" s="6"/>
      <c r="T39" s="6"/>
      <c r="U39" s="6"/>
      <c r="V39" s="6"/>
    </row>
    <row r="40" spans="1:22" ht="18.75" x14ac:dyDescent="0.3">
      <c r="A40" s="9"/>
      <c r="B40" s="9"/>
      <c r="C40" s="6"/>
      <c r="D40" s="6"/>
      <c r="E40" s="6"/>
      <c r="F40" s="10"/>
      <c r="G40" s="10"/>
      <c r="I40" s="10"/>
      <c r="J40" s="16"/>
      <c r="K40" s="10"/>
      <c r="L40" s="19"/>
      <c r="M40" s="16"/>
      <c r="N40" s="9"/>
      <c r="R40" s="6"/>
      <c r="S40" s="6"/>
      <c r="T40" s="6"/>
      <c r="U40" s="6"/>
      <c r="V40" s="6"/>
    </row>
    <row r="41" spans="1:22" ht="18.75" x14ac:dyDescent="0.3">
      <c r="A41" s="9"/>
      <c r="B41" s="9"/>
      <c r="C41" s="10"/>
      <c r="D41" s="10"/>
      <c r="E41" s="10"/>
      <c r="G41" s="10"/>
      <c r="I41" s="10"/>
      <c r="J41" s="16"/>
      <c r="K41" s="10"/>
      <c r="L41" s="19"/>
      <c r="M41" s="16"/>
      <c r="N41" s="9"/>
      <c r="R41" s="6"/>
      <c r="S41" s="6"/>
      <c r="T41" s="6"/>
      <c r="U41" s="6"/>
      <c r="V41" s="6"/>
    </row>
    <row r="42" spans="1:22" ht="15.75" x14ac:dyDescent="0.25">
      <c r="R42" s="50"/>
    </row>
    <row r="43" spans="1:22" ht="15.75" x14ac:dyDescent="0.25">
      <c r="R43" s="50"/>
    </row>
    <row r="44" spans="1:22" ht="15.75" x14ac:dyDescent="0.25">
      <c r="R44" s="50"/>
    </row>
  </sheetData>
  <pageMargins left="0.25" right="0.25" top="0.25" bottom="0.25" header="0.25" footer="0.25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"/>
  <sheetViews>
    <sheetView workbookViewId="0">
      <selection activeCell="B2" sqref="B2"/>
    </sheetView>
  </sheetViews>
  <sheetFormatPr defaultRowHeight="15" x14ac:dyDescent="0.25"/>
  <cols>
    <col min="1" max="1" width="6.85546875" style="7" customWidth="1"/>
    <col min="2" max="2" width="31.85546875" style="7" customWidth="1"/>
    <col min="3" max="3" width="10.42578125" style="8" customWidth="1"/>
    <col min="4" max="4" width="10.140625" style="8" customWidth="1"/>
    <col min="5" max="5" width="6.85546875" style="16" customWidth="1"/>
    <col min="6" max="7" width="9.85546875" style="8" customWidth="1"/>
    <col min="8" max="8" width="10.140625" style="40" customWidth="1"/>
    <col min="9" max="9" width="8.7109375" style="40" customWidth="1"/>
    <col min="10" max="10" width="6.85546875" style="48" customWidth="1"/>
    <col min="11" max="11" width="40.85546875" style="41" customWidth="1"/>
  </cols>
  <sheetData>
    <row r="1" spans="1:11" x14ac:dyDescent="0.25">
      <c r="B1" s="9" t="s">
        <v>124</v>
      </c>
    </row>
    <row r="2" spans="1:11" x14ac:dyDescent="0.25">
      <c r="A2" s="34"/>
      <c r="B2" s="9" t="s">
        <v>87</v>
      </c>
      <c r="C2" s="10"/>
      <c r="D2" s="10"/>
      <c r="F2" s="10"/>
      <c r="G2" s="10"/>
    </row>
    <row r="3" spans="1:11" ht="60" x14ac:dyDescent="0.25">
      <c r="A3" s="11" t="s">
        <v>50</v>
      </c>
      <c r="B3" s="11" t="s">
        <v>0</v>
      </c>
      <c r="C3" s="53" t="s">
        <v>93</v>
      </c>
      <c r="D3" s="20" t="s">
        <v>94</v>
      </c>
      <c r="E3" s="39" t="s">
        <v>57</v>
      </c>
      <c r="F3" s="20" t="s">
        <v>95</v>
      </c>
      <c r="G3" s="20" t="s">
        <v>58</v>
      </c>
      <c r="H3" s="21" t="s">
        <v>86</v>
      </c>
      <c r="I3" s="21" t="s">
        <v>59</v>
      </c>
      <c r="J3" s="22" t="s">
        <v>59</v>
      </c>
      <c r="K3" s="14" t="s">
        <v>97</v>
      </c>
    </row>
    <row r="4" spans="1:11" x14ac:dyDescent="0.25">
      <c r="A4" s="12"/>
      <c r="B4" s="12"/>
      <c r="C4" s="25" t="s">
        <v>1</v>
      </c>
      <c r="D4" s="25" t="s">
        <v>1</v>
      </c>
      <c r="E4" s="26" t="s">
        <v>21</v>
      </c>
      <c r="F4" s="25" t="s">
        <v>1</v>
      </c>
      <c r="G4" s="25" t="s">
        <v>1</v>
      </c>
      <c r="H4" s="24" t="s">
        <v>1</v>
      </c>
      <c r="I4" s="24" t="s">
        <v>1</v>
      </c>
      <c r="J4" s="29" t="s">
        <v>21</v>
      </c>
      <c r="K4" s="55" t="s">
        <v>98</v>
      </c>
    </row>
    <row r="5" spans="1:11" x14ac:dyDescent="0.25">
      <c r="A5" s="13">
        <v>1</v>
      </c>
      <c r="B5" s="13" t="s">
        <v>22</v>
      </c>
      <c r="C5" s="28">
        <v>339415</v>
      </c>
      <c r="D5" s="28">
        <f>'[1]STAFF COSTS'!$E$45</f>
        <v>177201.25000000003</v>
      </c>
      <c r="E5" s="29">
        <f>D5/C5</f>
        <v>0.52207842906176816</v>
      </c>
      <c r="F5" s="24">
        <f>C5-D5</f>
        <v>162213.74999999997</v>
      </c>
      <c r="G5" s="28">
        <f>D5+F5</f>
        <v>339415</v>
      </c>
      <c r="H5" s="28">
        <f>Sheet2!C15</f>
        <v>338415</v>
      </c>
      <c r="I5" s="28">
        <f t="shared" ref="I5:I11" si="0">H5-C5</f>
        <v>-1000</v>
      </c>
      <c r="J5" s="30">
        <f>I5/H5</f>
        <v>-2.9549517604125111E-3</v>
      </c>
      <c r="K5" s="55"/>
    </row>
    <row r="6" spans="1:11" x14ac:dyDescent="0.25">
      <c r="A6" s="13">
        <f>A5+1</f>
        <v>2</v>
      </c>
      <c r="B6" s="13" t="s">
        <v>23</v>
      </c>
      <c r="C6" s="28">
        <v>77175</v>
      </c>
      <c r="D6" s="28">
        <f>'[1]STAFF COSTS'!$F$45</f>
        <v>36227.170000000006</v>
      </c>
      <c r="E6" s="29">
        <f t="shared" ref="E6:E39" si="1">D6/C6</f>
        <v>0.46941587301587306</v>
      </c>
      <c r="F6" s="24">
        <f t="shared" ref="F6:F11" si="2">C6-D6</f>
        <v>40947.829999999994</v>
      </c>
      <c r="G6" s="28">
        <f>D6+F6</f>
        <v>77175</v>
      </c>
      <c r="H6" s="28">
        <f>Sheet2!D15+Sheet2!E15</f>
        <v>77922</v>
      </c>
      <c r="I6" s="28">
        <f t="shared" si="0"/>
        <v>747</v>
      </c>
      <c r="J6" s="30">
        <f t="shared" ref="J6:J39" si="3">I6/H6</f>
        <v>9.5865095865095857E-3</v>
      </c>
      <c r="K6" s="55"/>
    </row>
    <row r="7" spans="1:11" x14ac:dyDescent="0.25">
      <c r="A7" s="13">
        <f t="shared" ref="A7:A11" si="4">A6+1</f>
        <v>3</v>
      </c>
      <c r="B7" s="13" t="s">
        <v>24</v>
      </c>
      <c r="C7" s="28">
        <v>144841.96000000002</v>
      </c>
      <c r="D7" s="28">
        <f>'[1]STAFF COSTS'!$G$45</f>
        <v>74401.97</v>
      </c>
      <c r="E7" s="29">
        <f t="shared" si="1"/>
        <v>0.5136769068852699</v>
      </c>
      <c r="F7" s="24">
        <f t="shared" si="2"/>
        <v>70439.99000000002</v>
      </c>
      <c r="G7" s="28">
        <f>D7+F7</f>
        <v>144841.96000000002</v>
      </c>
      <c r="H7" s="28">
        <f>[2]Sheet1!C27+5842</f>
        <v>144841.96000000002</v>
      </c>
      <c r="I7" s="28">
        <f t="shared" si="0"/>
        <v>0</v>
      </c>
      <c r="J7" s="30">
        <f t="shared" si="3"/>
        <v>0</v>
      </c>
      <c r="K7" s="55"/>
    </row>
    <row r="8" spans="1:11" x14ac:dyDescent="0.25">
      <c r="A8" s="13">
        <f t="shared" si="4"/>
        <v>4</v>
      </c>
      <c r="B8" s="13" t="s">
        <v>25</v>
      </c>
      <c r="C8" s="28">
        <v>6079</v>
      </c>
      <c r="D8" s="28">
        <f>'[1]STAFF COSTS'!$I$45</f>
        <v>2271.08</v>
      </c>
      <c r="E8" s="29">
        <f t="shared" si="1"/>
        <v>0.37359434117453527</v>
      </c>
      <c r="F8" s="24">
        <f t="shared" si="2"/>
        <v>3807.92</v>
      </c>
      <c r="G8" s="28">
        <f>D8+F8</f>
        <v>6079</v>
      </c>
      <c r="H8" s="28">
        <f>Sheet2!D28+1469</f>
        <v>6079</v>
      </c>
      <c r="I8" s="28">
        <f t="shared" si="0"/>
        <v>0</v>
      </c>
      <c r="J8" s="30">
        <f t="shared" si="3"/>
        <v>0</v>
      </c>
      <c r="K8" s="55"/>
    </row>
    <row r="9" spans="1:11" x14ac:dyDescent="0.25">
      <c r="A9" s="13">
        <f t="shared" si="4"/>
        <v>5</v>
      </c>
      <c r="B9" s="13" t="s">
        <v>26</v>
      </c>
      <c r="C9" s="28">
        <v>62405.749999999993</v>
      </c>
      <c r="D9" s="28">
        <f>'[1]STAFF COSTS'!$H$45</f>
        <v>28928.76</v>
      </c>
      <c r="E9" s="29">
        <f t="shared" si="1"/>
        <v>0.46355920728458516</v>
      </c>
      <c r="F9" s="24">
        <f t="shared" si="2"/>
        <v>33476.989999999991</v>
      </c>
      <c r="G9" s="28">
        <f>D9+F9</f>
        <v>62405.749999999985</v>
      </c>
      <c r="H9" s="28">
        <f>Sheet2!G28</f>
        <v>63218.149999999994</v>
      </c>
      <c r="I9" s="28">
        <f t="shared" si="0"/>
        <v>812.40000000000146</v>
      </c>
      <c r="J9" s="30">
        <f t="shared" si="3"/>
        <v>1.2850739858727304E-2</v>
      </c>
      <c r="K9" s="55"/>
    </row>
    <row r="10" spans="1:11" x14ac:dyDescent="0.25">
      <c r="A10" s="13">
        <f t="shared" si="4"/>
        <v>6</v>
      </c>
      <c r="B10" s="13" t="s">
        <v>27</v>
      </c>
      <c r="C10" s="28">
        <v>33750</v>
      </c>
      <c r="D10" s="28">
        <f>'[1]STAFF COSTS'!$K$45</f>
        <v>4966.16</v>
      </c>
      <c r="E10" s="29">
        <f t="shared" si="1"/>
        <v>0.14714548148148149</v>
      </c>
      <c r="F10" s="24">
        <f t="shared" si="2"/>
        <v>28783.84</v>
      </c>
      <c r="G10" s="28">
        <v>33750</v>
      </c>
      <c r="H10" s="28">
        <f>Sheet2!E28</f>
        <v>33750</v>
      </c>
      <c r="I10" s="28">
        <f t="shared" si="0"/>
        <v>0</v>
      </c>
      <c r="J10" s="30">
        <f t="shared" si="3"/>
        <v>0</v>
      </c>
      <c r="K10" s="55"/>
    </row>
    <row r="11" spans="1:11" x14ac:dyDescent="0.25">
      <c r="A11" s="13">
        <f t="shared" si="4"/>
        <v>7</v>
      </c>
      <c r="B11" s="13" t="s">
        <v>28</v>
      </c>
      <c r="C11" s="28">
        <v>72604</v>
      </c>
      <c r="D11" s="28">
        <f>'[1]STAFF COSTS'!$J$45+7000</f>
        <v>31714.81</v>
      </c>
      <c r="E11" s="29">
        <f t="shared" si="1"/>
        <v>0.4368190457826015</v>
      </c>
      <c r="F11" s="24">
        <f t="shared" si="2"/>
        <v>40889.19</v>
      </c>
      <c r="G11" s="28">
        <f>D11+F11</f>
        <v>72604</v>
      </c>
      <c r="H11" s="28">
        <f>Sheet2!F28+4950</f>
        <v>72604</v>
      </c>
      <c r="I11" s="28">
        <f t="shared" si="0"/>
        <v>0</v>
      </c>
      <c r="J11" s="30">
        <f t="shared" si="3"/>
        <v>0</v>
      </c>
      <c r="K11" s="55"/>
    </row>
    <row r="12" spans="1:11" x14ac:dyDescent="0.25">
      <c r="A12" s="14"/>
      <c r="B12" s="14" t="s">
        <v>29</v>
      </c>
      <c r="C12" s="24">
        <v>736270.71</v>
      </c>
      <c r="D12" s="24">
        <f t="shared" ref="D12" si="5">SUM(D5:D11)</f>
        <v>355711.2</v>
      </c>
      <c r="E12" s="29">
        <f t="shared" si="1"/>
        <v>0.48312556124906836</v>
      </c>
      <c r="F12" s="24">
        <f t="shared" ref="F12" si="6">SUM(F5:F11)</f>
        <v>380559.50999999995</v>
      </c>
      <c r="G12" s="24">
        <f t="shared" ref="G12" si="7">SUM(G5:G11)</f>
        <v>736270.71</v>
      </c>
      <c r="H12" s="24">
        <f>SUM(H5:H11)</f>
        <v>736830.11</v>
      </c>
      <c r="I12" s="24">
        <f>SUM(I5:I11)</f>
        <v>559.40000000000146</v>
      </c>
      <c r="J12" s="29">
        <f t="shared" si="3"/>
        <v>7.5919807348806827E-4</v>
      </c>
      <c r="K12" s="13"/>
    </row>
    <row r="13" spans="1:11" x14ac:dyDescent="0.25">
      <c r="A13" s="13">
        <v>8</v>
      </c>
      <c r="B13" s="13" t="s">
        <v>30</v>
      </c>
      <c r="C13" s="28">
        <v>15000</v>
      </c>
      <c r="D13" s="28">
        <f>'[1]USD OP'!$M$75</f>
        <v>5770</v>
      </c>
      <c r="E13" s="29">
        <f t="shared" si="1"/>
        <v>0.38466666666666666</v>
      </c>
      <c r="F13" s="24">
        <f>C13-D13</f>
        <v>9230</v>
      </c>
      <c r="G13" s="28">
        <f t="shared" ref="G13:G20" si="8">D13+F13</f>
        <v>15000</v>
      </c>
      <c r="H13" s="28">
        <v>15000</v>
      </c>
      <c r="I13" s="28">
        <f t="shared" ref="I13:I20" si="9">H13-C13</f>
        <v>0</v>
      </c>
      <c r="J13" s="30">
        <f t="shared" si="3"/>
        <v>0</v>
      </c>
      <c r="K13" s="13" t="s">
        <v>119</v>
      </c>
    </row>
    <row r="14" spans="1:11" ht="29.25" x14ac:dyDescent="0.25">
      <c r="A14" s="13">
        <f>A13+1</f>
        <v>9</v>
      </c>
      <c r="B14" s="13" t="s">
        <v>31</v>
      </c>
      <c r="C14" s="28">
        <v>5000</v>
      </c>
      <c r="D14" s="28">
        <f>'[1]CHEQUES OPS'!$AA$183+'[1]USD OP'!$J$75</f>
        <v>4920.1163707317219</v>
      </c>
      <c r="E14" s="29">
        <f t="shared" si="1"/>
        <v>0.98402327414634438</v>
      </c>
      <c r="F14" s="24">
        <f t="shared" ref="F14:F35" si="10">C14-D14</f>
        <v>79.883629268278128</v>
      </c>
      <c r="G14" s="28">
        <f t="shared" si="8"/>
        <v>5000</v>
      </c>
      <c r="H14" s="28">
        <v>10000</v>
      </c>
      <c r="I14" s="28">
        <f t="shared" si="9"/>
        <v>5000</v>
      </c>
      <c r="J14" s="30">
        <f t="shared" si="3"/>
        <v>0.5</v>
      </c>
      <c r="K14" s="15" t="s">
        <v>99</v>
      </c>
    </row>
    <row r="15" spans="1:11" x14ac:dyDescent="0.25">
      <c r="A15" s="13">
        <f t="shared" ref="A15:A36" si="11">A14+1</f>
        <v>10</v>
      </c>
      <c r="B15" s="13" t="s">
        <v>32</v>
      </c>
      <c r="C15" s="28">
        <v>5000</v>
      </c>
      <c r="D15" s="28">
        <f>'[1]CHEQUES OPS'!$R$183+'[1]USD OP'!$R$75</f>
        <v>1348.7096705937643</v>
      </c>
      <c r="E15" s="29">
        <f t="shared" si="1"/>
        <v>0.26974193411875286</v>
      </c>
      <c r="F15" s="24">
        <f t="shared" si="10"/>
        <v>3651.2903294062357</v>
      </c>
      <c r="G15" s="28">
        <f t="shared" si="8"/>
        <v>5000</v>
      </c>
      <c r="H15" s="28">
        <v>5000</v>
      </c>
      <c r="I15" s="28">
        <f t="shared" si="9"/>
        <v>0</v>
      </c>
      <c r="J15" s="30">
        <f t="shared" si="3"/>
        <v>0</v>
      </c>
      <c r="K15" s="13" t="s">
        <v>100</v>
      </c>
    </row>
    <row r="16" spans="1:11" ht="33.75" customHeight="1" x14ac:dyDescent="0.25">
      <c r="A16" s="13">
        <f t="shared" si="11"/>
        <v>11</v>
      </c>
      <c r="B16" s="15" t="s">
        <v>53</v>
      </c>
      <c r="C16" s="28">
        <v>50000</v>
      </c>
      <c r="D16" s="28">
        <f>'[1]CHEQUES OPS'!$W$183+'[1]USD OP'!$G$75</f>
        <v>13507.479201977614</v>
      </c>
      <c r="E16" s="29">
        <f t="shared" si="1"/>
        <v>0.2701495840395523</v>
      </c>
      <c r="F16" s="24">
        <f t="shared" si="10"/>
        <v>36492.520798022386</v>
      </c>
      <c r="G16" s="28">
        <f t="shared" si="8"/>
        <v>50000</v>
      </c>
      <c r="H16" s="28">
        <v>50000</v>
      </c>
      <c r="I16" s="28">
        <f t="shared" si="9"/>
        <v>0</v>
      </c>
      <c r="J16" s="30">
        <f t="shared" si="3"/>
        <v>0</v>
      </c>
      <c r="K16" s="15" t="s">
        <v>101</v>
      </c>
    </row>
    <row r="17" spans="1:11" x14ac:dyDescent="0.25">
      <c r="A17" s="13">
        <f t="shared" si="11"/>
        <v>12</v>
      </c>
      <c r="B17" s="15" t="s">
        <v>54</v>
      </c>
      <c r="C17" s="28">
        <v>5000</v>
      </c>
      <c r="D17" s="28">
        <v>3000</v>
      </c>
      <c r="E17" s="29">
        <f t="shared" si="1"/>
        <v>0.6</v>
      </c>
      <c r="F17" s="24">
        <f t="shared" si="10"/>
        <v>2000</v>
      </c>
      <c r="G17" s="28">
        <f t="shared" si="8"/>
        <v>5000</v>
      </c>
      <c r="H17" s="28">
        <v>5000</v>
      </c>
      <c r="I17" s="28">
        <f t="shared" si="9"/>
        <v>0</v>
      </c>
      <c r="J17" s="30">
        <f t="shared" si="3"/>
        <v>0</v>
      </c>
      <c r="K17" s="13" t="s">
        <v>102</v>
      </c>
    </row>
    <row r="18" spans="1:11" x14ac:dyDescent="0.25">
      <c r="A18" s="13">
        <f t="shared" si="11"/>
        <v>13</v>
      </c>
      <c r="B18" s="13" t="s">
        <v>33</v>
      </c>
      <c r="C18" s="28">
        <v>8000</v>
      </c>
      <c r="D18" s="28">
        <f>'[1]CHEQUES OPS'!$AD$183+'[1]USD OP'!$P$75+3000</f>
        <v>4269.9620692460621</v>
      </c>
      <c r="E18" s="29">
        <f t="shared" si="1"/>
        <v>0.53374525865575773</v>
      </c>
      <c r="F18" s="24">
        <f t="shared" si="10"/>
        <v>3730.0379307539379</v>
      </c>
      <c r="G18" s="28">
        <f t="shared" si="8"/>
        <v>8000</v>
      </c>
      <c r="H18" s="28">
        <v>8000</v>
      </c>
      <c r="I18" s="28">
        <f t="shared" si="9"/>
        <v>0</v>
      </c>
      <c r="J18" s="30">
        <f t="shared" si="3"/>
        <v>0</v>
      </c>
      <c r="K18" s="13" t="s">
        <v>104</v>
      </c>
    </row>
    <row r="19" spans="1:11" x14ac:dyDescent="0.25">
      <c r="A19" s="13">
        <f t="shared" si="11"/>
        <v>14</v>
      </c>
      <c r="B19" s="13" t="s">
        <v>34</v>
      </c>
      <c r="C19" s="28">
        <v>8000</v>
      </c>
      <c r="D19" s="33">
        <f>'[1]CHEQUES OPS'!$N$183+'[1]CHEQUES OPS'!$X$184+2000</f>
        <v>2830.8049270917895</v>
      </c>
      <c r="E19" s="29">
        <f t="shared" si="1"/>
        <v>0.35385061588647371</v>
      </c>
      <c r="F19" s="24">
        <f t="shared" si="10"/>
        <v>5169.1950729082109</v>
      </c>
      <c r="G19" s="28">
        <f t="shared" si="8"/>
        <v>8000</v>
      </c>
      <c r="H19" s="28">
        <v>8000</v>
      </c>
      <c r="I19" s="28">
        <f t="shared" si="9"/>
        <v>0</v>
      </c>
      <c r="J19" s="30">
        <f t="shared" si="3"/>
        <v>0</v>
      </c>
      <c r="K19" s="13" t="s">
        <v>103</v>
      </c>
    </row>
    <row r="20" spans="1:11" ht="29.25" x14ac:dyDescent="0.25">
      <c r="A20" s="13">
        <f t="shared" si="11"/>
        <v>15</v>
      </c>
      <c r="B20" s="15" t="s">
        <v>35</v>
      </c>
      <c r="C20" s="28">
        <v>5000</v>
      </c>
      <c r="D20" s="28">
        <f>'[1]CHEQUES OPS'!$AH$183+'[1]USD OP'!$P$75</f>
        <v>1735.3493720015572</v>
      </c>
      <c r="E20" s="29">
        <f t="shared" si="1"/>
        <v>0.34706987440031145</v>
      </c>
      <c r="F20" s="24">
        <f t="shared" si="10"/>
        <v>3264.6506279984428</v>
      </c>
      <c r="G20" s="28">
        <f t="shared" si="8"/>
        <v>5000</v>
      </c>
      <c r="H20" s="28">
        <v>5000</v>
      </c>
      <c r="I20" s="28">
        <f t="shared" si="9"/>
        <v>0</v>
      </c>
      <c r="J20" s="30">
        <f t="shared" si="3"/>
        <v>0</v>
      </c>
      <c r="K20" s="13" t="s">
        <v>105</v>
      </c>
    </row>
    <row r="21" spans="1:11" x14ac:dyDescent="0.25">
      <c r="A21" s="13">
        <f t="shared" si="11"/>
        <v>16</v>
      </c>
      <c r="B21" s="15" t="s">
        <v>60</v>
      </c>
      <c r="C21" s="28"/>
      <c r="D21" s="28"/>
      <c r="E21" s="29"/>
      <c r="F21" s="24"/>
      <c r="G21" s="28"/>
      <c r="H21" s="28">
        <v>3000</v>
      </c>
      <c r="I21" s="28"/>
      <c r="J21" s="30"/>
      <c r="K21" s="13" t="s">
        <v>106</v>
      </c>
    </row>
    <row r="22" spans="1:11" x14ac:dyDescent="0.25">
      <c r="A22" s="13">
        <f t="shared" si="11"/>
        <v>17</v>
      </c>
      <c r="B22" s="13" t="s">
        <v>36</v>
      </c>
      <c r="C22" s="28">
        <v>30000</v>
      </c>
      <c r="D22" s="28">
        <f>'[1]CHEQUES OPS'!$AC$183+'[1]USD OP'!$K$75</f>
        <v>0</v>
      </c>
      <c r="E22" s="29">
        <f t="shared" si="1"/>
        <v>0</v>
      </c>
      <c r="F22" s="24">
        <f t="shared" si="10"/>
        <v>30000</v>
      </c>
      <c r="G22" s="28">
        <f t="shared" ref="G22:G35" si="12">D22+F22</f>
        <v>30000</v>
      </c>
      <c r="H22" s="28">
        <v>30000</v>
      </c>
      <c r="I22" s="28">
        <f t="shared" ref="I22:I39" si="13">H22-C22</f>
        <v>0</v>
      </c>
      <c r="J22" s="30">
        <f t="shared" si="3"/>
        <v>0</v>
      </c>
      <c r="K22" s="13" t="s">
        <v>107</v>
      </c>
    </row>
    <row r="23" spans="1:11" x14ac:dyDescent="0.25">
      <c r="A23" s="13">
        <f t="shared" si="11"/>
        <v>18</v>
      </c>
      <c r="B23" s="13" t="s">
        <v>37</v>
      </c>
      <c r="C23" s="28">
        <v>7000</v>
      </c>
      <c r="D23" s="28">
        <f>'[1]USD OP'!$O$75</f>
        <v>0</v>
      </c>
      <c r="E23" s="29">
        <f t="shared" si="1"/>
        <v>0</v>
      </c>
      <c r="F23" s="24">
        <f t="shared" si="10"/>
        <v>7000</v>
      </c>
      <c r="G23" s="28">
        <f t="shared" si="12"/>
        <v>7000</v>
      </c>
      <c r="H23" s="28">
        <v>7000</v>
      </c>
      <c r="I23" s="28">
        <f t="shared" si="13"/>
        <v>0</v>
      </c>
      <c r="J23" s="30">
        <f t="shared" si="3"/>
        <v>0</v>
      </c>
      <c r="K23" s="13" t="s">
        <v>108</v>
      </c>
    </row>
    <row r="24" spans="1:11" ht="29.25" x14ac:dyDescent="0.25">
      <c r="A24" s="13">
        <f t="shared" si="11"/>
        <v>19</v>
      </c>
      <c r="B24" s="13" t="s">
        <v>38</v>
      </c>
      <c r="C24" s="28">
        <v>7000</v>
      </c>
      <c r="D24" s="28">
        <f>'[1]CHEQUES OPS'!$AE$183+'[1]USD OP'!$L$75</f>
        <v>6166.99</v>
      </c>
      <c r="E24" s="29">
        <f t="shared" si="1"/>
        <v>0.88099857142857141</v>
      </c>
      <c r="F24" s="24">
        <f t="shared" si="10"/>
        <v>833.01000000000022</v>
      </c>
      <c r="G24" s="28">
        <f t="shared" si="12"/>
        <v>7000</v>
      </c>
      <c r="H24" s="28">
        <v>7000</v>
      </c>
      <c r="I24" s="28">
        <f t="shared" si="13"/>
        <v>0</v>
      </c>
      <c r="J24" s="30">
        <f t="shared" si="3"/>
        <v>0</v>
      </c>
      <c r="K24" s="15" t="s">
        <v>109</v>
      </c>
    </row>
    <row r="25" spans="1:11" x14ac:dyDescent="0.25">
      <c r="A25" s="13">
        <f t="shared" si="11"/>
        <v>20</v>
      </c>
      <c r="B25" s="13" t="s">
        <v>39</v>
      </c>
      <c r="C25" s="28">
        <v>8000</v>
      </c>
      <c r="D25" s="28">
        <v>3639.2520924818919</v>
      </c>
      <c r="E25" s="29">
        <f t="shared" si="1"/>
        <v>0.45490651156023648</v>
      </c>
      <c r="F25" s="24">
        <f t="shared" si="10"/>
        <v>4360.7479075181081</v>
      </c>
      <c r="G25" s="28">
        <f t="shared" si="12"/>
        <v>8000</v>
      </c>
      <c r="H25" s="28">
        <v>8000</v>
      </c>
      <c r="I25" s="28">
        <f t="shared" si="13"/>
        <v>0</v>
      </c>
      <c r="J25" s="30">
        <f t="shared" si="3"/>
        <v>0</v>
      </c>
      <c r="K25" s="13" t="s">
        <v>121</v>
      </c>
    </row>
    <row r="26" spans="1:11" ht="29.25" x14ac:dyDescent="0.25">
      <c r="A26" s="13">
        <f t="shared" si="11"/>
        <v>21</v>
      </c>
      <c r="B26" s="13" t="s">
        <v>40</v>
      </c>
      <c r="C26" s="28">
        <v>2000</v>
      </c>
      <c r="D26" s="33">
        <f>'[1]CHEQUES OPS'!$T$183</f>
        <v>0</v>
      </c>
      <c r="E26" s="29">
        <f t="shared" si="1"/>
        <v>0</v>
      </c>
      <c r="F26" s="24">
        <f t="shared" si="10"/>
        <v>2000</v>
      </c>
      <c r="G26" s="28">
        <f t="shared" si="12"/>
        <v>2000</v>
      </c>
      <c r="H26" s="28">
        <v>1600</v>
      </c>
      <c r="I26" s="28">
        <f t="shared" si="13"/>
        <v>-400</v>
      </c>
      <c r="J26" s="30">
        <f t="shared" si="3"/>
        <v>-0.25</v>
      </c>
      <c r="K26" s="54" t="s">
        <v>120</v>
      </c>
    </row>
    <row r="27" spans="1:11" x14ac:dyDescent="0.25">
      <c r="A27" s="13">
        <f t="shared" si="11"/>
        <v>22</v>
      </c>
      <c r="B27" s="13" t="s">
        <v>41</v>
      </c>
      <c r="C27" s="28">
        <v>2000</v>
      </c>
      <c r="D27" s="28">
        <f>'[1]CHEQUES OPS'!$H$190</f>
        <v>1066.0513160761082</v>
      </c>
      <c r="E27" s="29">
        <f t="shared" si="1"/>
        <v>0.53302565803805413</v>
      </c>
      <c r="F27" s="24">
        <f t="shared" si="10"/>
        <v>933.94868392389185</v>
      </c>
      <c r="G27" s="28">
        <f t="shared" si="12"/>
        <v>2000</v>
      </c>
      <c r="H27" s="28">
        <v>2000</v>
      </c>
      <c r="I27" s="28">
        <f t="shared" si="13"/>
        <v>0</v>
      </c>
      <c r="J27" s="30">
        <f t="shared" si="3"/>
        <v>0</v>
      </c>
      <c r="K27" s="13" t="s">
        <v>122</v>
      </c>
    </row>
    <row r="28" spans="1:11" ht="29.25" x14ac:dyDescent="0.25">
      <c r="A28" s="13">
        <f t="shared" si="11"/>
        <v>23</v>
      </c>
      <c r="B28" s="15" t="s">
        <v>91</v>
      </c>
      <c r="C28" s="28">
        <v>12000</v>
      </c>
      <c r="D28" s="28">
        <f>'[1]CHEQUES OPS'!$J$183*8/13</f>
        <v>7000.4064875158365</v>
      </c>
      <c r="E28" s="29">
        <f t="shared" si="1"/>
        <v>0.58336720729298641</v>
      </c>
      <c r="F28" s="24">
        <f t="shared" si="10"/>
        <v>4999.5935124841635</v>
      </c>
      <c r="G28" s="28">
        <f t="shared" si="12"/>
        <v>12000</v>
      </c>
      <c r="H28" s="28">
        <v>15000</v>
      </c>
      <c r="I28" s="28">
        <f t="shared" si="13"/>
        <v>3000</v>
      </c>
      <c r="J28" s="30">
        <f t="shared" si="3"/>
        <v>0.2</v>
      </c>
      <c r="K28" s="54" t="s">
        <v>123</v>
      </c>
    </row>
    <row r="29" spans="1:11" ht="72" x14ac:dyDescent="0.25">
      <c r="A29" s="13">
        <f t="shared" si="11"/>
        <v>24</v>
      </c>
      <c r="B29" s="15" t="s">
        <v>92</v>
      </c>
      <c r="C29" s="28">
        <v>25000</v>
      </c>
      <c r="D29" s="28">
        <f>('[1]CHEQUES OPS'!$K$183*8/13+'[1]CHEQUES OPS'!$L$183*8/13+'[1]CHEQUES OPS'!$S$183+'[1]USD OP'!$N$75)-4000</f>
        <v>13168.076951488853</v>
      </c>
      <c r="E29" s="29">
        <f t="shared" si="1"/>
        <v>0.5267230780595541</v>
      </c>
      <c r="F29" s="24">
        <f t="shared" si="10"/>
        <v>11831.923048511147</v>
      </c>
      <c r="G29" s="28">
        <f t="shared" si="12"/>
        <v>25000</v>
      </c>
      <c r="H29" s="28">
        <v>30000</v>
      </c>
      <c r="I29" s="28">
        <f t="shared" si="13"/>
        <v>5000</v>
      </c>
      <c r="J29" s="30">
        <f t="shared" si="3"/>
        <v>0.16666666666666666</v>
      </c>
      <c r="K29" s="15" t="s">
        <v>118</v>
      </c>
    </row>
    <row r="30" spans="1:11" ht="29.25" x14ac:dyDescent="0.25">
      <c r="A30" s="13">
        <f t="shared" si="11"/>
        <v>25</v>
      </c>
      <c r="B30" s="13" t="s">
        <v>90</v>
      </c>
      <c r="C30" s="28">
        <v>5000</v>
      </c>
      <c r="D30" s="28">
        <f>'[1]CHEQUES OPS'!$M$183</f>
        <v>2402.0377123798326</v>
      </c>
      <c r="E30" s="29">
        <f t="shared" si="1"/>
        <v>0.48040754247596651</v>
      </c>
      <c r="F30" s="24">
        <f t="shared" si="10"/>
        <v>2597.9622876201674</v>
      </c>
      <c r="G30" s="28">
        <f t="shared" si="12"/>
        <v>5000</v>
      </c>
      <c r="H30" s="28">
        <v>6000</v>
      </c>
      <c r="I30" s="28">
        <f t="shared" si="13"/>
        <v>1000</v>
      </c>
      <c r="J30" s="30">
        <f t="shared" si="3"/>
        <v>0.16666666666666666</v>
      </c>
      <c r="K30" s="15" t="s">
        <v>123</v>
      </c>
    </row>
    <row r="31" spans="1:11" ht="57.75" x14ac:dyDescent="0.25">
      <c r="A31" s="13">
        <f t="shared" si="11"/>
        <v>26</v>
      </c>
      <c r="B31" s="13" t="s">
        <v>42</v>
      </c>
      <c r="C31" s="28">
        <v>1500</v>
      </c>
      <c r="D31" s="28">
        <f>'[1]CHEQUES OPS'!$P$183</f>
        <v>1099.7327094414713</v>
      </c>
      <c r="E31" s="29">
        <f t="shared" si="1"/>
        <v>0.73315513962764756</v>
      </c>
      <c r="F31" s="24">
        <f t="shared" si="10"/>
        <v>400.26729055852866</v>
      </c>
      <c r="G31" s="28">
        <f t="shared" si="12"/>
        <v>1500</v>
      </c>
      <c r="H31" s="28">
        <v>2000</v>
      </c>
      <c r="I31" s="28">
        <f t="shared" si="13"/>
        <v>500</v>
      </c>
      <c r="J31" s="30">
        <f t="shared" si="3"/>
        <v>0.25</v>
      </c>
      <c r="K31" s="15" t="s">
        <v>113</v>
      </c>
    </row>
    <row r="32" spans="1:11" x14ac:dyDescent="0.25">
      <c r="A32" s="13">
        <f t="shared" si="11"/>
        <v>27</v>
      </c>
      <c r="B32" s="13" t="s">
        <v>84</v>
      </c>
      <c r="C32" s="28">
        <v>1500</v>
      </c>
      <c r="D32" s="28">
        <f>'[1]CHEQUES OPS'!$O$183</f>
        <v>744.34753941735494</v>
      </c>
      <c r="E32" s="29">
        <f t="shared" si="1"/>
        <v>0.49623169294490327</v>
      </c>
      <c r="F32" s="24">
        <f t="shared" si="10"/>
        <v>755.65246058264506</v>
      </c>
      <c r="G32" s="28">
        <f t="shared" si="12"/>
        <v>1500</v>
      </c>
      <c r="H32" s="28">
        <v>1500</v>
      </c>
      <c r="I32" s="28">
        <f t="shared" si="13"/>
        <v>0</v>
      </c>
      <c r="J32" s="30">
        <f t="shared" si="3"/>
        <v>0</v>
      </c>
      <c r="K32" s="13" t="s">
        <v>116</v>
      </c>
    </row>
    <row r="33" spans="1:11" ht="29.25" x14ac:dyDescent="0.25">
      <c r="A33" s="13">
        <f t="shared" si="11"/>
        <v>28</v>
      </c>
      <c r="B33" s="13" t="s">
        <v>43</v>
      </c>
      <c r="C33" s="28">
        <v>7000</v>
      </c>
      <c r="D33" s="28">
        <f>'[1]CHEQUES OPS'!$AJ$183+'[1]USD OP'!$Q$75</f>
        <v>0</v>
      </c>
      <c r="E33" s="29">
        <f t="shared" si="1"/>
        <v>0</v>
      </c>
      <c r="F33" s="24">
        <f t="shared" si="10"/>
        <v>7000</v>
      </c>
      <c r="G33" s="28">
        <f t="shared" si="12"/>
        <v>7000</v>
      </c>
      <c r="H33" s="28">
        <v>7000</v>
      </c>
      <c r="I33" s="28">
        <f t="shared" si="13"/>
        <v>0</v>
      </c>
      <c r="J33" s="30">
        <f t="shared" si="3"/>
        <v>0</v>
      </c>
      <c r="K33" s="15" t="s">
        <v>117</v>
      </c>
    </row>
    <row r="34" spans="1:11" ht="29.25" x14ac:dyDescent="0.25">
      <c r="A34" s="13">
        <f t="shared" si="11"/>
        <v>29</v>
      </c>
      <c r="B34" s="13" t="s">
        <v>44</v>
      </c>
      <c r="C34" s="28">
        <v>1500</v>
      </c>
      <c r="D34" s="28">
        <f>'[1]CHEQUES OPS'!$AB$183+'[1]USD OP'!$H$75</f>
        <v>352.38351043595912</v>
      </c>
      <c r="E34" s="29">
        <f t="shared" si="1"/>
        <v>0.23492234029063941</v>
      </c>
      <c r="F34" s="24">
        <f t="shared" si="10"/>
        <v>1147.6164895640409</v>
      </c>
      <c r="G34" s="28">
        <f t="shared" si="12"/>
        <v>1500</v>
      </c>
      <c r="H34" s="28">
        <v>1500</v>
      </c>
      <c r="I34" s="28">
        <f t="shared" si="13"/>
        <v>0</v>
      </c>
      <c r="J34" s="30">
        <f t="shared" si="3"/>
        <v>0</v>
      </c>
      <c r="K34" s="15" t="s">
        <v>114</v>
      </c>
    </row>
    <row r="35" spans="1:11" ht="43.5" x14ac:dyDescent="0.25">
      <c r="A35" s="13">
        <f t="shared" si="11"/>
        <v>30</v>
      </c>
      <c r="B35" s="15" t="s">
        <v>88</v>
      </c>
      <c r="C35" s="28">
        <v>10000</v>
      </c>
      <c r="D35" s="28">
        <f>'[1]CHEQUES OPS'!$Z$183</f>
        <v>2276.9832222500372</v>
      </c>
      <c r="E35" s="29">
        <f t="shared" si="1"/>
        <v>0.22769832222500372</v>
      </c>
      <c r="F35" s="24">
        <f t="shared" si="10"/>
        <v>7723.0167777499628</v>
      </c>
      <c r="G35" s="28">
        <f t="shared" si="12"/>
        <v>10000</v>
      </c>
      <c r="H35" s="28">
        <v>15000</v>
      </c>
      <c r="I35" s="28">
        <f t="shared" si="13"/>
        <v>5000</v>
      </c>
      <c r="J35" s="30">
        <f t="shared" si="3"/>
        <v>0.33333333333333331</v>
      </c>
      <c r="K35" s="15" t="s">
        <v>115</v>
      </c>
    </row>
    <row r="36" spans="1:11" ht="57" customHeight="1" x14ac:dyDescent="0.25">
      <c r="A36" s="13">
        <f t="shared" si="11"/>
        <v>31</v>
      </c>
      <c r="B36" s="15" t="s">
        <v>85</v>
      </c>
      <c r="C36" s="28"/>
      <c r="D36" s="28"/>
      <c r="E36" s="29"/>
      <c r="F36" s="24"/>
      <c r="G36" s="28"/>
      <c r="H36" s="28">
        <v>10000</v>
      </c>
      <c r="I36" s="28">
        <f t="shared" si="13"/>
        <v>10000</v>
      </c>
      <c r="J36" s="30">
        <f t="shared" si="3"/>
        <v>1</v>
      </c>
      <c r="K36" s="15" t="s">
        <v>110</v>
      </c>
    </row>
    <row r="37" spans="1:11" ht="57.75" x14ac:dyDescent="0.25">
      <c r="A37" s="13">
        <v>32</v>
      </c>
      <c r="B37" s="15" t="s">
        <v>89</v>
      </c>
      <c r="C37" s="28"/>
      <c r="D37" s="28"/>
      <c r="E37" s="29"/>
      <c r="F37" s="24"/>
      <c r="G37" s="28"/>
      <c r="H37" s="28">
        <v>10000</v>
      </c>
      <c r="I37" s="28">
        <f t="shared" si="13"/>
        <v>10000</v>
      </c>
      <c r="J37" s="30">
        <f t="shared" si="3"/>
        <v>1</v>
      </c>
      <c r="K37" s="15" t="s">
        <v>111</v>
      </c>
    </row>
    <row r="38" spans="1:11" x14ac:dyDescent="0.25">
      <c r="A38" s="14"/>
      <c r="B38" s="14" t="s">
        <v>45</v>
      </c>
      <c r="C38" s="24">
        <v>220500</v>
      </c>
      <c r="D38" s="24">
        <f>SUM(D13:D36)</f>
        <v>75298.683153129852</v>
      </c>
      <c r="E38" s="29">
        <f t="shared" si="1"/>
        <v>0.34149062654480661</v>
      </c>
      <c r="F38" s="24">
        <f>SUM(F13:F36)</f>
        <v>145201.31684687015</v>
      </c>
      <c r="G38" s="24">
        <f>SUM(G13:G36)</f>
        <v>220500</v>
      </c>
      <c r="H38" s="24">
        <f>SUM(H13:H37)</f>
        <v>262600</v>
      </c>
      <c r="I38" s="28">
        <f t="shared" si="13"/>
        <v>42100</v>
      </c>
      <c r="J38" s="29">
        <f t="shared" si="3"/>
        <v>0.16031987814166032</v>
      </c>
      <c r="K38" s="13"/>
    </row>
    <row r="39" spans="1:11" x14ac:dyDescent="0.25">
      <c r="A39" s="14"/>
      <c r="B39" s="14" t="s">
        <v>51</v>
      </c>
      <c r="C39" s="24">
        <v>956770.71</v>
      </c>
      <c r="D39" s="24">
        <f>D12+D38</f>
        <v>431009.88315312983</v>
      </c>
      <c r="E39" s="29">
        <f t="shared" si="1"/>
        <v>0.45048398602537681</v>
      </c>
      <c r="F39" s="24">
        <f>F12+F38</f>
        <v>525760.82684687013</v>
      </c>
      <c r="G39" s="24">
        <f>G12+G38</f>
        <v>956770.71</v>
      </c>
      <c r="H39" s="24">
        <f>H12+H38</f>
        <v>999430.11</v>
      </c>
      <c r="I39" s="28">
        <f t="shared" si="13"/>
        <v>42659.400000000023</v>
      </c>
      <c r="J39" s="29">
        <f t="shared" si="3"/>
        <v>4.2683725028056264E-2</v>
      </c>
      <c r="K39" s="13" t="s">
        <v>112</v>
      </c>
    </row>
    <row r="40" spans="1:11" x14ac:dyDescent="0.25">
      <c r="A40" s="9"/>
      <c r="B40" s="9"/>
      <c r="C40" s="10"/>
      <c r="D40" s="10"/>
      <c r="F40" s="10"/>
      <c r="G40" s="10"/>
    </row>
    <row r="41" spans="1:11" x14ac:dyDescent="0.25">
      <c r="A41" s="9"/>
      <c r="B41" s="9"/>
      <c r="D41" s="10"/>
      <c r="F41" s="10"/>
      <c r="G41" s="10"/>
    </row>
  </sheetData>
  <mergeCells count="1">
    <mergeCell ref="K4:K11"/>
  </mergeCells>
  <pageMargins left="0.7" right="0.7" top="0.75" bottom="0.75" header="0.3" footer="0.3"/>
  <pageSetup paperSize="9" scale="85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30"/>
  <sheetViews>
    <sheetView topLeftCell="A9" workbookViewId="0">
      <selection activeCell="G28" sqref="G28"/>
    </sheetView>
  </sheetViews>
  <sheetFormatPr defaultRowHeight="15.75" x14ac:dyDescent="0.25"/>
  <cols>
    <col min="1" max="1" width="9.140625" style="44"/>
    <col min="2" max="2" width="30.42578125" style="44" customWidth="1"/>
    <col min="3" max="3" width="21.140625" style="45" customWidth="1"/>
    <col min="4" max="4" width="20.85546875" style="45" customWidth="1"/>
    <col min="5" max="5" width="19" style="45" customWidth="1"/>
    <col min="6" max="6" width="13" style="45" customWidth="1"/>
    <col min="7" max="7" width="11.5703125" style="45" customWidth="1"/>
    <col min="8" max="8" width="10.5703125" style="45" customWidth="1"/>
  </cols>
  <sheetData>
    <row r="2" spans="1:8" x14ac:dyDescent="0.25">
      <c r="A2" s="42" t="s">
        <v>61</v>
      </c>
      <c r="B2" s="42"/>
      <c r="C2" s="43"/>
      <c r="D2" s="43"/>
      <c r="E2" s="43"/>
      <c r="F2" s="43"/>
      <c r="G2" s="43"/>
      <c r="H2" s="43"/>
    </row>
    <row r="4" spans="1:8" x14ac:dyDescent="0.25">
      <c r="A4" s="42" t="s">
        <v>62</v>
      </c>
      <c r="B4" s="42"/>
      <c r="C4" s="43"/>
      <c r="D4" s="43"/>
      <c r="E4" s="43"/>
      <c r="F4" s="43"/>
      <c r="G4" s="43"/>
      <c r="H4" s="43"/>
    </row>
    <row r="5" spans="1:8" x14ac:dyDescent="0.25">
      <c r="A5" s="42"/>
      <c r="B5" s="42" t="s">
        <v>63</v>
      </c>
      <c r="C5" s="43"/>
      <c r="D5" s="43"/>
      <c r="E5" s="43"/>
      <c r="F5" s="43"/>
      <c r="G5" s="43"/>
      <c r="H5" s="43"/>
    </row>
    <row r="6" spans="1:8" x14ac:dyDescent="0.25">
      <c r="A6" s="42" t="s">
        <v>64</v>
      </c>
      <c r="B6" s="42" t="s">
        <v>65</v>
      </c>
      <c r="C6" s="43" t="s">
        <v>66</v>
      </c>
      <c r="D6" s="43" t="s">
        <v>67</v>
      </c>
      <c r="E6" s="43" t="s">
        <v>68</v>
      </c>
      <c r="F6" s="43"/>
      <c r="G6" s="43"/>
      <c r="H6" s="43"/>
    </row>
    <row r="7" spans="1:8" x14ac:dyDescent="0.25">
      <c r="A7" s="44">
        <v>1</v>
      </c>
      <c r="B7" s="44" t="s">
        <v>69</v>
      </c>
      <c r="C7" s="45">
        <v>83375</v>
      </c>
    </row>
    <row r="8" spans="1:8" x14ac:dyDescent="0.25">
      <c r="A8" s="44">
        <v>2</v>
      </c>
      <c r="B8" s="44" t="s">
        <v>70</v>
      </c>
      <c r="C8" s="45">
        <f>68006*2</f>
        <v>136012</v>
      </c>
    </row>
    <row r="9" spans="1:8" x14ac:dyDescent="0.25">
      <c r="A9" s="44">
        <v>1</v>
      </c>
      <c r="B9" s="44" t="s">
        <v>83</v>
      </c>
      <c r="C9" s="45">
        <v>60056</v>
      </c>
    </row>
    <row r="10" spans="1:8" x14ac:dyDescent="0.25">
      <c r="A10" s="44">
        <v>1</v>
      </c>
      <c r="B10" s="44" t="s">
        <v>71</v>
      </c>
      <c r="C10" s="45">
        <v>57229</v>
      </c>
    </row>
    <row r="11" spans="1:8" x14ac:dyDescent="0.25">
      <c r="A11" s="44">
        <v>1</v>
      </c>
      <c r="B11" s="44" t="s">
        <v>72</v>
      </c>
      <c r="D11" s="45">
        <v>30458</v>
      </c>
      <c r="E11" s="46"/>
    </row>
    <row r="12" spans="1:8" x14ac:dyDescent="0.25">
      <c r="A12" s="44">
        <v>1</v>
      </c>
      <c r="B12" s="44" t="s">
        <v>73</v>
      </c>
      <c r="D12" s="45">
        <f>29458</f>
        <v>29458</v>
      </c>
      <c r="E12" s="46"/>
    </row>
    <row r="13" spans="1:8" x14ac:dyDescent="0.25">
      <c r="A13" s="44">
        <v>1</v>
      </c>
      <c r="B13" s="44" t="s">
        <v>74</v>
      </c>
      <c r="E13" s="45">
        <v>12550</v>
      </c>
    </row>
    <row r="14" spans="1:8" x14ac:dyDescent="0.25">
      <c r="A14" s="44">
        <v>1</v>
      </c>
      <c r="B14" s="44" t="s">
        <v>75</v>
      </c>
      <c r="E14" s="45">
        <v>5456</v>
      </c>
    </row>
    <row r="15" spans="1:8" x14ac:dyDescent="0.25">
      <c r="A15" s="42"/>
      <c r="B15" s="42" t="s">
        <v>76</v>
      </c>
      <c r="C15" s="43">
        <f>SUM(C7:C14)+1743</f>
        <v>338415</v>
      </c>
      <c r="D15" s="43">
        <f>SUM(D7:D14)</f>
        <v>59916</v>
      </c>
      <c r="E15" s="43">
        <f>SUM(E7:E14)</f>
        <v>18006</v>
      </c>
      <c r="F15" s="43"/>
      <c r="G15" s="43"/>
      <c r="H15" s="43"/>
    </row>
    <row r="19" spans="1:9" x14ac:dyDescent="0.25">
      <c r="A19" s="42"/>
      <c r="B19" s="42" t="s">
        <v>77</v>
      </c>
      <c r="C19" s="43"/>
      <c r="D19" s="43"/>
      <c r="E19" s="43"/>
      <c r="F19" s="43"/>
      <c r="G19" s="43"/>
      <c r="H19" s="43"/>
    </row>
    <row r="20" spans="1:9" x14ac:dyDescent="0.25">
      <c r="A20" s="42" t="s">
        <v>64</v>
      </c>
      <c r="B20" s="42" t="s">
        <v>65</v>
      </c>
      <c r="C20" s="43" t="s">
        <v>78</v>
      </c>
      <c r="D20" s="43" t="s">
        <v>79</v>
      </c>
      <c r="E20" s="43" t="s">
        <v>80</v>
      </c>
      <c r="F20" s="43" t="s">
        <v>81</v>
      </c>
      <c r="G20" s="43" t="s">
        <v>26</v>
      </c>
      <c r="H20" s="43" t="s">
        <v>82</v>
      </c>
    </row>
    <row r="21" spans="1:9" x14ac:dyDescent="0.25">
      <c r="A21" s="44">
        <v>1</v>
      </c>
      <c r="B21" s="44" t="s">
        <v>69</v>
      </c>
      <c r="C21" s="45">
        <f>1584*12</f>
        <v>19008</v>
      </c>
      <c r="D21" s="45">
        <f>25*12*2</f>
        <v>600</v>
      </c>
      <c r="E21" s="45">
        <v>3750</v>
      </c>
      <c r="F21" s="45">
        <f>4950*2</f>
        <v>9900</v>
      </c>
      <c r="G21" s="45">
        <v>12506</v>
      </c>
      <c r="H21" s="45">
        <v>413</v>
      </c>
    </row>
    <row r="22" spans="1:9" x14ac:dyDescent="0.25">
      <c r="A22" s="44">
        <v>3</v>
      </c>
      <c r="B22" s="44" t="s">
        <v>70</v>
      </c>
      <c r="C22" s="45">
        <f>C21*3</f>
        <v>57024</v>
      </c>
      <c r="D22" s="45">
        <f>D21*3</f>
        <v>1800</v>
      </c>
      <c r="E22" s="45">
        <f>3750*3</f>
        <v>11250</v>
      </c>
      <c r="F22" s="45">
        <f>F21*3</f>
        <v>29700</v>
      </c>
      <c r="G22" s="45">
        <f>10201*3</f>
        <v>30603</v>
      </c>
      <c r="H22" s="45">
        <v>413</v>
      </c>
    </row>
    <row r="23" spans="1:9" x14ac:dyDescent="0.25">
      <c r="A23" s="44">
        <v>1</v>
      </c>
      <c r="B23" s="44" t="s">
        <v>71</v>
      </c>
      <c r="C23" s="45">
        <f>1346.4*12</f>
        <v>16156.800000000001</v>
      </c>
      <c r="D23" s="45">
        <f>D21</f>
        <v>600</v>
      </c>
      <c r="E23" s="45">
        <v>3750</v>
      </c>
      <c r="F23" s="45">
        <v>4950</v>
      </c>
      <c r="G23" s="45">
        <f>C10*0.15</f>
        <v>8584.35</v>
      </c>
      <c r="H23" s="45">
        <v>413</v>
      </c>
    </row>
    <row r="24" spans="1:9" x14ac:dyDescent="0.25">
      <c r="A24" s="44">
        <v>1</v>
      </c>
      <c r="B24" s="44" t="s">
        <v>72</v>
      </c>
      <c r="C24" s="45">
        <f>1346.4*12</f>
        <v>16156.800000000001</v>
      </c>
      <c r="D24" s="45">
        <f>230*2</f>
        <v>460</v>
      </c>
      <c r="E24" s="45">
        <v>3750</v>
      </c>
      <c r="F24" s="45">
        <f>2888*2</f>
        <v>5776</v>
      </c>
      <c r="G24" s="45">
        <f>D11*0.15</f>
        <v>4568.7</v>
      </c>
      <c r="H24" s="45">
        <v>0</v>
      </c>
    </row>
    <row r="25" spans="1:9" x14ac:dyDescent="0.25">
      <c r="A25" s="44">
        <v>1</v>
      </c>
      <c r="B25" s="44" t="s">
        <v>73</v>
      </c>
      <c r="C25" s="45">
        <f>1346.4*12</f>
        <v>16156.800000000001</v>
      </c>
      <c r="D25" s="45">
        <f>230*2</f>
        <v>460</v>
      </c>
      <c r="E25" s="45">
        <f>3750</f>
        <v>3750</v>
      </c>
      <c r="F25" s="45">
        <f>2888*2</f>
        <v>5776</v>
      </c>
      <c r="G25" s="45">
        <f>D12*0.15</f>
        <v>4418.7</v>
      </c>
      <c r="H25" s="45">
        <v>0</v>
      </c>
    </row>
    <row r="26" spans="1:9" x14ac:dyDescent="0.25">
      <c r="A26" s="44">
        <v>1</v>
      </c>
      <c r="B26" s="44" t="s">
        <v>74</v>
      </c>
      <c r="C26" s="45">
        <f>E13*0.84</f>
        <v>10542</v>
      </c>
      <c r="D26" s="45">
        <f>230</f>
        <v>230</v>
      </c>
      <c r="E26" s="45">
        <f>3750</f>
        <v>3750</v>
      </c>
      <c r="F26" s="45">
        <f>2888*2</f>
        <v>5776</v>
      </c>
      <c r="G26" s="45">
        <v>1719</v>
      </c>
    </row>
    <row r="27" spans="1:9" x14ac:dyDescent="0.25">
      <c r="A27" s="44">
        <v>1</v>
      </c>
      <c r="B27" s="44" t="s">
        <v>75</v>
      </c>
      <c r="C27" s="45">
        <f>E14*0.84</f>
        <v>4583.04</v>
      </c>
      <c r="D27" s="45">
        <f>D24</f>
        <v>460</v>
      </c>
      <c r="E27" s="45">
        <v>3750</v>
      </c>
      <c r="F27" s="45">
        <f>2888*2</f>
        <v>5776</v>
      </c>
      <c r="G27" s="45">
        <f>E14*0.15</f>
        <v>818.4</v>
      </c>
      <c r="H27" s="45">
        <v>0</v>
      </c>
    </row>
    <row r="28" spans="1:9" x14ac:dyDescent="0.25">
      <c r="A28" s="42"/>
      <c r="B28" s="42" t="s">
        <v>76</v>
      </c>
      <c r="C28" s="43">
        <f t="shared" ref="C28:H28" si="0">SUM(C21:C27)</f>
        <v>139627.44000000003</v>
      </c>
      <c r="D28" s="43">
        <f t="shared" si="0"/>
        <v>4610</v>
      </c>
      <c r="E28" s="43">
        <f t="shared" si="0"/>
        <v>33750</v>
      </c>
      <c r="F28" s="43">
        <f t="shared" si="0"/>
        <v>67654</v>
      </c>
      <c r="G28" s="43">
        <f t="shared" si="0"/>
        <v>63218.149999999994</v>
      </c>
      <c r="H28" s="43">
        <f t="shared" si="0"/>
        <v>1239</v>
      </c>
    </row>
    <row r="29" spans="1:9" x14ac:dyDescent="0.25">
      <c r="I29" s="47"/>
    </row>
    <row r="30" spans="1:9" x14ac:dyDescent="0.25">
      <c r="D30" s="4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July</vt:lpstr>
      <vt:lpstr>Sheet1</vt:lpstr>
      <vt:lpstr>Sheet2</vt:lpstr>
      <vt:lpstr>Sheet1!Print_Area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2019-08-16T10:53:33Z</cp:lastPrinted>
  <dcterms:created xsi:type="dcterms:W3CDTF">2016-03-23T15:13:12Z</dcterms:created>
  <dcterms:modified xsi:type="dcterms:W3CDTF">2019-08-22T11:18:12Z</dcterms:modified>
</cp:coreProperties>
</file>