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omesaheadoffice-my.sharepoint.com/personal/ymambwe_comesa_int/Documents/Documents/CRISIL LIMITED/FINAL REPORTS/FOR TRANSLATION/ARABIC/"/>
    </mc:Choice>
  </mc:AlternateContent>
  <xr:revisionPtr revIDLastSave="0" documentId="8_{E00EBD48-01CF-4922-91ED-BBD0AE398BE8}" xr6:coauthVersionLast="47" xr6:coauthVersionMax="47" xr10:uidLastSave="{00000000-0000-0000-0000-000000000000}"/>
  <bookViews>
    <workbookView xWindow="-110" yWindow="-110" windowWidth="19420" windowHeight="10300" activeTab="5" xr2:uid="{00000000-000D-0000-FFFF-FFFF00000000}"/>
  </bookViews>
  <sheets>
    <sheet name="ترجمة المصطلحات" sheetId="10" r:id="rId1"/>
    <sheet name="اقرأ" sheetId="2" r:id="rId2"/>
    <sheet name="متطلبات الإيرادات" sheetId="1" r:id="rId3"/>
    <sheet name="العميل" sheetId="3" r:id="rId4"/>
    <sheet name="الخسارة" sheetId="5" r:id="rId5"/>
    <sheet name="الأصول" sheetId="6" r:id="rId6"/>
    <sheet name="النفقات" sheetId="7" r:id="rId7"/>
    <sheet name="إعادة تخصيص الجهد" sheetId="8" r:id="rId8"/>
    <sheet name="المخرَج" sheetId="9" r:id="rId9"/>
    <sheet name="الأخطاء الإحصائية" sheetId="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L52" i="6"/>
  <c r="M52" i="6"/>
  <c r="O52" i="6"/>
  <c r="P52" i="6"/>
  <c r="B4" i="10"/>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V12" i="3"/>
  <c r="S12" i="3"/>
  <c r="L12" i="3"/>
  <c r="L42" i="3" l="1"/>
  <c r="L41" i="3"/>
  <c r="I35" i="9" s="1"/>
  <c r="L40" i="3"/>
  <c r="L39" i="3"/>
  <c r="L38" i="3"/>
  <c r="L37" i="3"/>
  <c r="L36" i="3"/>
  <c r="L35" i="3"/>
  <c r="I29" i="9" s="1"/>
  <c r="L34" i="3"/>
  <c r="L33" i="3"/>
  <c r="L32" i="3"/>
  <c r="L31" i="3"/>
  <c r="L30" i="3"/>
  <c r="L29" i="3"/>
  <c r="L28" i="3"/>
  <c r="L27" i="3"/>
  <c r="I21" i="9" s="1"/>
  <c r="L26" i="3"/>
  <c r="L25" i="3"/>
  <c r="L24" i="3"/>
  <c r="L23" i="3"/>
  <c r="L22" i="3"/>
  <c r="L21" i="3"/>
  <c r="L20" i="3"/>
  <c r="L19" i="3"/>
  <c r="I13" i="9" s="1"/>
  <c r="L18" i="3"/>
  <c r="L17" i="3"/>
  <c r="I11" i="9" s="1"/>
  <c r="L16" i="3"/>
  <c r="L15" i="3"/>
  <c r="L14" i="3"/>
  <c r="L13" i="3"/>
  <c r="I8" i="9"/>
  <c r="I12" i="9"/>
  <c r="M98" i="8"/>
  <c r="I15" i="9"/>
  <c r="I28" i="9"/>
  <c r="I30" i="9"/>
  <c r="I33" i="9"/>
  <c r="I22" i="9"/>
  <c r="I25" i="9"/>
  <c r="I32" i="9"/>
  <c r="I36" i="9"/>
  <c r="H7" i="9"/>
  <c r="I7" i="9"/>
  <c r="J7" i="9"/>
  <c r="H8" i="9"/>
  <c r="J8" i="9"/>
  <c r="H9" i="9"/>
  <c r="I9" i="9"/>
  <c r="J9" i="9"/>
  <c r="H10" i="9"/>
  <c r="I10" i="9"/>
  <c r="J10" i="9"/>
  <c r="H11" i="9"/>
  <c r="J11" i="9"/>
  <c r="H12" i="9"/>
  <c r="J12" i="9"/>
  <c r="H13" i="9"/>
  <c r="J13" i="9"/>
  <c r="H14" i="9"/>
  <c r="J14" i="9"/>
  <c r="H15" i="9"/>
  <c r="J15" i="9"/>
  <c r="H16" i="9"/>
  <c r="I16" i="9"/>
  <c r="J16" i="9"/>
  <c r="H17" i="9"/>
  <c r="I17" i="9"/>
  <c r="J17" i="9"/>
  <c r="H18" i="9"/>
  <c r="I18" i="9"/>
  <c r="J18" i="9"/>
  <c r="H19" i="9"/>
  <c r="I19" i="9"/>
  <c r="J19" i="9"/>
  <c r="H20" i="9"/>
  <c r="I20" i="9"/>
  <c r="J20" i="9"/>
  <c r="H21" i="9"/>
  <c r="J21" i="9"/>
  <c r="H22" i="9"/>
  <c r="J22" i="9"/>
  <c r="H23" i="9"/>
  <c r="I23" i="9"/>
  <c r="J23" i="9"/>
  <c r="H24" i="9"/>
  <c r="I24" i="9"/>
  <c r="J24" i="9"/>
  <c r="H25" i="9"/>
  <c r="J25" i="9"/>
  <c r="H26" i="9"/>
  <c r="I26" i="9"/>
  <c r="J26" i="9"/>
  <c r="H27" i="9"/>
  <c r="I27" i="9"/>
  <c r="J27" i="9"/>
  <c r="H28" i="9"/>
  <c r="J28" i="9"/>
  <c r="H29" i="9"/>
  <c r="J29" i="9"/>
  <c r="H30" i="9"/>
  <c r="J30" i="9"/>
  <c r="H31" i="9"/>
  <c r="I31" i="9"/>
  <c r="J31" i="9"/>
  <c r="H32" i="9"/>
  <c r="J32" i="9"/>
  <c r="H33" i="9"/>
  <c r="J33" i="9"/>
  <c r="H34" i="9"/>
  <c r="I34" i="9"/>
  <c r="J34" i="9"/>
  <c r="H35" i="9"/>
  <c r="J35" i="9"/>
  <c r="H36" i="9"/>
  <c r="J36" i="9"/>
  <c r="G21" i="9"/>
  <c r="AC21" i="9" s="1" a="1"/>
  <c r="AC21" i="9" s="1"/>
  <c r="F21" i="9"/>
  <c r="J6" i="9"/>
  <c r="I6" i="9"/>
  <c r="H6" i="9"/>
  <c r="Z98" i="8"/>
  <c r="Y98" i="8"/>
  <c r="X98" i="8"/>
  <c r="W98" i="8"/>
  <c r="V98" i="8"/>
  <c r="U98" i="8"/>
  <c r="T98" i="8"/>
  <c r="S98" i="8"/>
  <c r="R98" i="8"/>
  <c r="Q98" i="8"/>
  <c r="P98" i="8"/>
  <c r="O98" i="8"/>
  <c r="N98" i="8"/>
  <c r="L98" i="8"/>
  <c r="Z78" i="8"/>
  <c r="X78" i="8"/>
  <c r="W78" i="8"/>
  <c r="U78" i="8"/>
  <c r="T78" i="8"/>
  <c r="R78" i="8"/>
  <c r="Q78" i="8"/>
  <c r="O78" i="8"/>
  <c r="L78" i="8"/>
  <c r="Y86" i="8"/>
  <c r="X86" i="8"/>
  <c r="V86" i="8"/>
  <c r="U86" i="8"/>
  <c r="S86" i="8"/>
  <c r="R86" i="8"/>
  <c r="P86" i="8"/>
  <c r="O86" i="8"/>
  <c r="M86" i="8"/>
  <c r="L86" i="8"/>
  <c r="Z72" i="8"/>
  <c r="Y72" i="8"/>
  <c r="W72" i="8"/>
  <c r="V72" i="8"/>
  <c r="T72" i="8"/>
  <c r="S72" i="8"/>
  <c r="Q72" i="8"/>
  <c r="P72" i="8"/>
  <c r="N72" i="8"/>
  <c r="M72" i="8"/>
  <c r="Z64" i="8"/>
  <c r="X64" i="8"/>
  <c r="W64" i="8"/>
  <c r="U64" i="8"/>
  <c r="T64" i="8"/>
  <c r="R64" i="8"/>
  <c r="Q64" i="8"/>
  <c r="O64" i="8"/>
  <c r="N64" i="8"/>
  <c r="L64" i="8"/>
  <c r="Z56" i="8"/>
  <c r="Y56" i="8"/>
  <c r="W56" i="8"/>
  <c r="V56" i="8"/>
  <c r="T56" i="8"/>
  <c r="S56" i="8"/>
  <c r="Q56" i="8"/>
  <c r="P56" i="8"/>
  <c r="N78" i="8"/>
  <c r="N56" i="8"/>
  <c r="M56" i="8"/>
  <c r="M38" i="8"/>
  <c r="P38" i="8"/>
  <c r="S38" i="8"/>
  <c r="V38" i="8"/>
  <c r="Y38" i="8"/>
  <c r="N30" i="8"/>
  <c r="Q30" i="8"/>
  <c r="T30" i="8"/>
  <c r="W30" i="8"/>
  <c r="Z30" i="8"/>
  <c r="Z24" i="8"/>
  <c r="W24" i="8"/>
  <c r="T24" i="8"/>
  <c r="Q24" i="8"/>
  <c r="N24" i="8"/>
  <c r="AB21" i="9" l="1" a="1"/>
  <c r="AB21" i="9" s="1"/>
  <c r="K21" i="9" s="1"/>
  <c r="S21" i="9" s="1"/>
  <c r="AD21" i="9" a="1"/>
  <c r="AD21" i="9" s="1"/>
  <c r="M21" i="9" s="1"/>
  <c r="U21" i="9" s="1"/>
  <c r="I14" i="9"/>
  <c r="L21" i="9"/>
  <c r="T21" i="9" s="1"/>
  <c r="N21" i="9" l="1"/>
  <c r="V21" i="9" s="1"/>
  <c r="Q36" i="9" l="1"/>
  <c r="P36" i="9"/>
  <c r="O36" i="9"/>
  <c r="Q35" i="9"/>
  <c r="P35" i="9"/>
  <c r="O35" i="9"/>
  <c r="Q34" i="9"/>
  <c r="P34" i="9"/>
  <c r="O34" i="9"/>
  <c r="R34" i="9" s="1"/>
  <c r="Q33" i="9"/>
  <c r="P33" i="9"/>
  <c r="R33" i="9" s="1"/>
  <c r="O33" i="9"/>
  <c r="Q32" i="9"/>
  <c r="P32" i="9"/>
  <c r="O32" i="9"/>
  <c r="Q31" i="9"/>
  <c r="P31" i="9"/>
  <c r="O31" i="9"/>
  <c r="Q30" i="9"/>
  <c r="R30" i="9" s="1"/>
  <c r="P30" i="9"/>
  <c r="O30" i="9"/>
  <c r="Q29" i="9"/>
  <c r="P29" i="9"/>
  <c r="O29" i="9"/>
  <c r="Q28" i="9"/>
  <c r="P28" i="9"/>
  <c r="O28" i="9"/>
  <c r="Q27" i="9"/>
  <c r="P27" i="9"/>
  <c r="O27" i="9"/>
  <c r="Q26" i="9"/>
  <c r="P26" i="9"/>
  <c r="O26" i="9"/>
  <c r="Q25" i="9"/>
  <c r="P25" i="9"/>
  <c r="R25" i="9" s="1"/>
  <c r="O25" i="9"/>
  <c r="Q24" i="9"/>
  <c r="P24" i="9"/>
  <c r="R24" i="9" s="1"/>
  <c r="O24" i="9"/>
  <c r="Q23" i="9"/>
  <c r="P23" i="9"/>
  <c r="O23" i="9"/>
  <c r="Q22" i="9"/>
  <c r="R22" i="9" s="1"/>
  <c r="P22" i="9"/>
  <c r="O22" i="9"/>
  <c r="Q21" i="9"/>
  <c r="P21" i="9"/>
  <c r="O21" i="9"/>
  <c r="Q20" i="9"/>
  <c r="R20" i="9" s="1"/>
  <c r="P20" i="9"/>
  <c r="O20" i="9"/>
  <c r="Q19" i="9"/>
  <c r="P19" i="9"/>
  <c r="O19" i="9"/>
  <c r="Q18" i="9"/>
  <c r="P18" i="9"/>
  <c r="O18" i="9"/>
  <c r="R18" i="9" s="1"/>
  <c r="Q17" i="9"/>
  <c r="P17" i="9"/>
  <c r="O17" i="9"/>
  <c r="Q16" i="9"/>
  <c r="P16" i="9"/>
  <c r="R16" i="9" s="1"/>
  <c r="O16" i="9"/>
  <c r="Q15" i="9"/>
  <c r="P15" i="9"/>
  <c r="R15" i="9" s="1"/>
  <c r="O15" i="9"/>
  <c r="Q14" i="9"/>
  <c r="P14" i="9"/>
  <c r="O14" i="9"/>
  <c r="Q13" i="9"/>
  <c r="P13" i="9"/>
  <c r="O13" i="9"/>
  <c r="Q12" i="9"/>
  <c r="P12" i="9"/>
  <c r="O12" i="9"/>
  <c r="R12" i="9" s="1"/>
  <c r="Q11" i="9"/>
  <c r="P11" i="9"/>
  <c r="O11" i="9"/>
  <c r="Q10" i="9"/>
  <c r="P10" i="9"/>
  <c r="O10" i="9"/>
  <c r="Q9" i="9"/>
  <c r="P9" i="9"/>
  <c r="O9" i="9"/>
  <c r="Q8" i="9"/>
  <c r="P8" i="9"/>
  <c r="R8" i="9" s="1"/>
  <c r="O8" i="9"/>
  <c r="Q7" i="9"/>
  <c r="P7" i="9"/>
  <c r="O7" i="9"/>
  <c r="Q6" i="9"/>
  <c r="R6" i="9" s="1"/>
  <c r="P6" i="9"/>
  <c r="O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G20" i="9"/>
  <c r="G19" i="9"/>
  <c r="G18" i="9"/>
  <c r="G17" i="9"/>
  <c r="G16" i="9"/>
  <c r="G15" i="9"/>
  <c r="G14" i="9"/>
  <c r="G13" i="9"/>
  <c r="G12" i="9"/>
  <c r="G11" i="9"/>
  <c r="G10" i="9"/>
  <c r="G9" i="9"/>
  <c r="G8" i="9"/>
  <c r="G7" i="9"/>
  <c r="G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6" i="9"/>
  <c r="R36" i="9"/>
  <c r="R31" i="9"/>
  <c r="R28" i="9"/>
  <c r="R17" i="9"/>
  <c r="R14" i="9"/>
  <c r="R9" i="9"/>
  <c r="R32" i="9" l="1"/>
  <c r="AC23" i="9" a="1"/>
  <c r="AC23" i="9" s="1"/>
  <c r="L23" i="9" s="1"/>
  <c r="T23" i="9" s="1"/>
  <c r="AB23" i="9" a="1"/>
  <c r="AB23" i="9" s="1"/>
  <c r="K23" i="9" s="1"/>
  <c r="S23" i="9" s="1"/>
  <c r="AD23" i="9" a="1"/>
  <c r="AD23" i="9" s="1"/>
  <c r="M23" i="9" s="1"/>
  <c r="U23" i="9" s="1"/>
  <c r="AB27" i="9" a="1"/>
  <c r="AB27" i="9" s="1"/>
  <c r="K27" i="9" s="1"/>
  <c r="S27" i="9" s="1"/>
  <c r="AC27" i="9" a="1"/>
  <c r="AC27" i="9" s="1"/>
  <c r="L27" i="9" s="1"/>
  <c r="T27" i="9" s="1"/>
  <c r="AD27" i="9" a="1"/>
  <c r="AD27" i="9" s="1"/>
  <c r="M27" i="9" s="1"/>
  <c r="U27" i="9" s="1"/>
  <c r="AB31" i="9" a="1"/>
  <c r="AB31" i="9" s="1"/>
  <c r="K31" i="9" s="1"/>
  <c r="S31" i="9" s="1"/>
  <c r="AC31" i="9" a="1"/>
  <c r="AC31" i="9" s="1"/>
  <c r="L31" i="9" s="1"/>
  <c r="AD31" i="9" a="1"/>
  <c r="AD31" i="9" s="1"/>
  <c r="M31" i="9" s="1"/>
  <c r="U31" i="9" s="1"/>
  <c r="AB35" i="9" a="1"/>
  <c r="AB35" i="9" s="1"/>
  <c r="K35" i="9" s="1"/>
  <c r="S35" i="9" s="1"/>
  <c r="AC35" i="9" a="1"/>
  <c r="AC35" i="9" s="1"/>
  <c r="L35" i="9" s="1"/>
  <c r="T35" i="9" s="1"/>
  <c r="AD35" i="9" a="1"/>
  <c r="AD35" i="9" s="1"/>
  <c r="M35" i="9" s="1"/>
  <c r="U35" i="9" s="1"/>
  <c r="R7" i="9"/>
  <c r="R10" i="9"/>
  <c r="R23" i="9"/>
  <c r="R26" i="9"/>
  <c r="AD24" i="9" a="1"/>
  <c r="AD24" i="9" s="1"/>
  <c r="M24" i="9" s="1"/>
  <c r="U24" i="9" s="1"/>
  <c r="AC24" i="9" a="1"/>
  <c r="AC24" i="9" s="1"/>
  <c r="L24" i="9" s="1"/>
  <c r="T24" i="9" s="1"/>
  <c r="AB24" i="9" a="1"/>
  <c r="AB24" i="9" s="1"/>
  <c r="K24" i="9" s="1"/>
  <c r="S24" i="9" s="1"/>
  <c r="AD28" i="9" a="1"/>
  <c r="AD28" i="9" s="1"/>
  <c r="M28" i="9" s="1"/>
  <c r="U28" i="9" s="1"/>
  <c r="AB28" i="9" a="1"/>
  <c r="AB28" i="9" s="1"/>
  <c r="K28" i="9" s="1"/>
  <c r="S28" i="9" s="1"/>
  <c r="AC28" i="9" a="1"/>
  <c r="AC28" i="9" s="1"/>
  <c r="L28" i="9" s="1"/>
  <c r="T28" i="9" s="1"/>
  <c r="AD32" i="9" a="1"/>
  <c r="AD32" i="9" s="1"/>
  <c r="M32" i="9" s="1"/>
  <c r="U32" i="9" s="1"/>
  <c r="AB32" i="9" a="1"/>
  <c r="AB32" i="9" s="1"/>
  <c r="K32" i="9" s="1"/>
  <c r="S32" i="9" s="1"/>
  <c r="AC32" i="9" a="1"/>
  <c r="AC32" i="9" s="1"/>
  <c r="L32" i="9" s="1"/>
  <c r="T32" i="9" s="1"/>
  <c r="AD36" i="9" a="1"/>
  <c r="AD36" i="9" s="1"/>
  <c r="M36" i="9" s="1"/>
  <c r="U36" i="9" s="1"/>
  <c r="AB36" i="9" a="1"/>
  <c r="AB36" i="9" s="1"/>
  <c r="K36" i="9" s="1"/>
  <c r="S36" i="9" s="1"/>
  <c r="AC36" i="9" a="1"/>
  <c r="AC36" i="9" s="1"/>
  <c r="L36" i="9" s="1"/>
  <c r="T36" i="9" s="1"/>
  <c r="AC25" i="9" a="1"/>
  <c r="AC25" i="9" s="1"/>
  <c r="L25" i="9" s="1"/>
  <c r="T25" i="9" s="1"/>
  <c r="AD25" i="9" a="1"/>
  <c r="AD25" i="9" s="1"/>
  <c r="M25" i="9" s="1"/>
  <c r="U25" i="9" s="1"/>
  <c r="AB25" i="9" a="1"/>
  <c r="AB25" i="9" s="1"/>
  <c r="K25" i="9" s="1"/>
  <c r="S25" i="9" s="1"/>
  <c r="AC29" i="9" a="1"/>
  <c r="AC29" i="9" s="1"/>
  <c r="L29" i="9" s="1"/>
  <c r="AD29" i="9" a="1"/>
  <c r="AD29" i="9" s="1"/>
  <c r="M29" i="9" s="1"/>
  <c r="U29" i="9" s="1"/>
  <c r="AB29" i="9" a="1"/>
  <c r="AB29" i="9" s="1"/>
  <c r="K29" i="9" s="1"/>
  <c r="S29" i="9" s="1"/>
  <c r="AC33" i="9" a="1"/>
  <c r="AC33" i="9" s="1"/>
  <c r="L33" i="9" s="1"/>
  <c r="T33" i="9" s="1"/>
  <c r="AB33" i="9" a="1"/>
  <c r="AB33" i="9" s="1"/>
  <c r="K33" i="9" s="1"/>
  <c r="S33" i="9" s="1"/>
  <c r="AD33" i="9" a="1"/>
  <c r="AD33" i="9" s="1"/>
  <c r="M33" i="9" s="1"/>
  <c r="U33" i="9" s="1"/>
  <c r="AB26" i="9" a="1"/>
  <c r="AB26" i="9" s="1"/>
  <c r="K26" i="9" s="1"/>
  <c r="S26" i="9" s="1"/>
  <c r="AC26" i="9" a="1"/>
  <c r="AC26" i="9" s="1"/>
  <c r="L26" i="9" s="1"/>
  <c r="T26" i="9" s="1"/>
  <c r="AD26" i="9" a="1"/>
  <c r="AD26" i="9" s="1"/>
  <c r="M26" i="9" s="1"/>
  <c r="U26" i="9" s="1"/>
  <c r="AB34" i="9" a="1"/>
  <c r="AB34" i="9" s="1"/>
  <c r="K34" i="9" s="1"/>
  <c r="S34" i="9" s="1"/>
  <c r="AC34" i="9" a="1"/>
  <c r="AC34" i="9" s="1"/>
  <c r="L34" i="9" s="1"/>
  <c r="T34" i="9" s="1"/>
  <c r="AD34" i="9" a="1"/>
  <c r="AD34" i="9" s="1"/>
  <c r="M34" i="9" s="1"/>
  <c r="U34" i="9" s="1"/>
  <c r="AC22" i="9" a="1"/>
  <c r="AC22" i="9" s="1"/>
  <c r="L22" i="9" s="1"/>
  <c r="AB22" i="9" a="1"/>
  <c r="AB22" i="9" s="1"/>
  <c r="K22" i="9" s="1"/>
  <c r="S22" i="9" s="1"/>
  <c r="AD22" i="9" a="1"/>
  <c r="AD22" i="9" s="1"/>
  <c r="M22" i="9" s="1"/>
  <c r="U22" i="9" s="1"/>
  <c r="AC30" i="9" a="1"/>
  <c r="AC30" i="9" s="1"/>
  <c r="L30" i="9" s="1"/>
  <c r="T30" i="9" s="1"/>
  <c r="AD30" i="9" a="1"/>
  <c r="AD30" i="9" s="1"/>
  <c r="M30" i="9" s="1"/>
  <c r="U30" i="9" s="1"/>
  <c r="AB30" i="9" a="1"/>
  <c r="AB30" i="9" s="1"/>
  <c r="K30" i="9" s="1"/>
  <c r="S30" i="9" s="1"/>
  <c r="O37" i="9"/>
  <c r="Q37" i="9"/>
  <c r="R19" i="9"/>
  <c r="R21" i="9"/>
  <c r="R27" i="9"/>
  <c r="R29" i="9"/>
  <c r="R35" i="9"/>
  <c r="R11" i="9"/>
  <c r="R13" i="9"/>
  <c r="P37" i="9"/>
  <c r="N34" i="9" l="1"/>
  <c r="V34" i="9" s="1"/>
  <c r="N24" i="9"/>
  <c r="V24" i="9" s="1"/>
  <c r="N29" i="9"/>
  <c r="V29" i="9" s="1"/>
  <c r="T29" i="9"/>
  <c r="N22" i="9"/>
  <c r="V22" i="9" s="1"/>
  <c r="T22" i="9"/>
  <c r="N31" i="9"/>
  <c r="V31" i="9" s="1"/>
  <c r="T31" i="9"/>
  <c r="N35" i="9"/>
  <c r="V35" i="9" s="1"/>
  <c r="N30" i="9"/>
  <c r="V30" i="9" s="1"/>
  <c r="N33" i="9"/>
  <c r="V33" i="9" s="1"/>
  <c r="N36" i="9"/>
  <c r="V36" i="9" s="1"/>
  <c r="R37" i="9"/>
  <c r="N27" i="9"/>
  <c r="V27" i="9" s="1"/>
  <c r="N32" i="9"/>
  <c r="V32" i="9" s="1"/>
  <c r="N25" i="9"/>
  <c r="V25" i="9" s="1"/>
  <c r="N26" i="9"/>
  <c r="V26" i="9" s="1"/>
  <c r="N28" i="9"/>
  <c r="V28" i="9" s="1"/>
  <c r="N23" i="9"/>
  <c r="V23" i="9" s="1"/>
  <c r="AB43" i="3"/>
  <c r="N57" i="7"/>
  <c r="N54" i="7"/>
  <c r="N47" i="7"/>
  <c r="M57" i="7"/>
  <c r="M54" i="7"/>
  <c r="M47" i="7"/>
  <c r="N14" i="7"/>
  <c r="M14" i="7"/>
  <c r="K57" i="7"/>
  <c r="K47" i="7"/>
  <c r="L47" i="7"/>
  <c r="L54" i="7"/>
  <c r="J54" i="7"/>
  <c r="I54" i="7"/>
  <c r="H54" i="7"/>
  <c r="G54" i="7"/>
  <c r="J47" i="7"/>
  <c r="I47" i="7"/>
  <c r="I64" i="7" s="1"/>
  <c r="H47" i="7"/>
  <c r="F54" i="7"/>
  <c r="G14" i="7"/>
  <c r="G75" i="1" l="1"/>
  <c r="I43" i="7"/>
  <c r="I37" i="7"/>
  <c r="I31" i="7"/>
  <c r="I25" i="7"/>
  <c r="I19" i="7"/>
  <c r="I14" i="7"/>
  <c r="C7" i="3"/>
  <c r="C6" i="3"/>
  <c r="C5" i="3"/>
  <c r="I66" i="7" l="1"/>
  <c r="J47" i="6" l="1"/>
  <c r="E63" i="7"/>
  <c r="N63" i="7" s="1"/>
  <c r="E62" i="7"/>
  <c r="N62" i="7" s="1"/>
  <c r="E61" i="7"/>
  <c r="N61" i="7" s="1"/>
  <c r="E60" i="7"/>
  <c r="E58" i="7"/>
  <c r="E57" i="7"/>
  <c r="E56" i="7"/>
  <c r="K56" i="7" s="1"/>
  <c r="E55" i="7"/>
  <c r="K55" i="7" s="1"/>
  <c r="K54" i="7" s="1"/>
  <c r="K64" i="7" s="1"/>
  <c r="E53" i="7"/>
  <c r="E52" i="7"/>
  <c r="E51" i="7"/>
  <c r="E50" i="7"/>
  <c r="E49" i="7"/>
  <c r="F49" i="7" s="1"/>
  <c r="F47" i="7" s="1"/>
  <c r="E48" i="7"/>
  <c r="G48" i="7" s="1"/>
  <c r="G47" i="7" s="1"/>
  <c r="E46" i="7"/>
  <c r="F46" i="7" s="1"/>
  <c r="M30" i="7" l="1"/>
  <c r="M31" i="7" s="1"/>
  <c r="M58" i="7"/>
  <c r="M64" i="7" s="1"/>
  <c r="M24" i="7"/>
  <c r="M25" i="7" s="1"/>
  <c r="M18" i="7"/>
  <c r="M19" i="7" s="1"/>
  <c r="M42" i="7"/>
  <c r="M43" i="7" s="1"/>
  <c r="M36" i="7"/>
  <c r="M37" i="7" s="1"/>
  <c r="N24" i="7"/>
  <c r="N25" i="7" s="1"/>
  <c r="N18" i="7"/>
  <c r="N19" i="7" s="1"/>
  <c r="N36" i="7"/>
  <c r="N37" i="7" s="1"/>
  <c r="N42" i="7"/>
  <c r="N43" i="7" s="1"/>
  <c r="N30" i="7"/>
  <c r="N31" i="7" s="1"/>
  <c r="N60" i="7"/>
  <c r="N64" i="7" s="1"/>
  <c r="G50" i="7"/>
  <c r="G64" i="7" s="1"/>
  <c r="L57" i="7"/>
  <c r="L64" i="7" s="1"/>
  <c r="J52" i="7"/>
  <c r="J64" i="7" s="1"/>
  <c r="J13" i="7"/>
  <c r="J14" i="7" s="1"/>
  <c r="F12" i="7"/>
  <c r="H51" i="7"/>
  <c r="H53" i="7"/>
  <c r="G62" i="1"/>
  <c r="N48" i="6"/>
  <c r="N45" i="6"/>
  <c r="N46" i="6"/>
  <c r="P46" i="6" s="1"/>
  <c r="N44" i="6"/>
  <c r="E48" i="6"/>
  <c r="L25" i="6" s="1"/>
  <c r="L47" i="6"/>
  <c r="K50" i="6"/>
  <c r="M66" i="7" l="1"/>
  <c r="N66" i="7"/>
  <c r="F14" i="7"/>
  <c r="O12" i="7"/>
  <c r="H64" i="7"/>
  <c r="P45" i="6"/>
  <c r="Q45" i="6" s="1"/>
  <c r="Q46" i="6"/>
  <c r="P44" i="6"/>
  <c r="P48" i="6"/>
  <c r="Q48" i="6" s="1"/>
  <c r="N47" i="6"/>
  <c r="N50" i="6" s="1"/>
  <c r="L29" i="6"/>
  <c r="L30" i="6"/>
  <c r="L16" i="6"/>
  <c r="L35" i="6"/>
  <c r="L19" i="6"/>
  <c r="L39" i="6"/>
  <c r="L20" i="6"/>
  <c r="L40" i="6"/>
  <c r="L24" i="6"/>
  <c r="L48" i="6"/>
  <c r="M48" i="6" s="1"/>
  <c r="L34" i="6"/>
  <c r="F50" i="6"/>
  <c r="C56" i="8" l="1"/>
  <c r="P12" i="7"/>
  <c r="P47" i="6"/>
  <c r="Q44" i="6"/>
  <c r="Q47" i="6" s="1"/>
  <c r="L41" i="6"/>
  <c r="L36" i="6"/>
  <c r="L17" i="6"/>
  <c r="L21" i="6"/>
  <c r="L26" i="6"/>
  <c r="L31" i="6"/>
  <c r="F52" i="6"/>
  <c r="E45" i="6"/>
  <c r="E46" i="6"/>
  <c r="E44" i="6"/>
  <c r="G25" i="6" l="1"/>
  <c r="E47" i="6"/>
  <c r="E50" i="6" s="1"/>
  <c r="I46" i="6"/>
  <c r="M46" i="6" s="1"/>
  <c r="I45" i="6"/>
  <c r="L50" i="6"/>
  <c r="G30" i="6"/>
  <c r="G16" i="6"/>
  <c r="G35" i="6"/>
  <c r="G19" i="6"/>
  <c r="G39" i="6"/>
  <c r="G29" i="6"/>
  <c r="G34" i="6"/>
  <c r="G20" i="6"/>
  <c r="G40" i="6"/>
  <c r="G24" i="6"/>
  <c r="G44" i="6"/>
  <c r="G47" i="6" s="1"/>
  <c r="Z42" i="3"/>
  <c r="AF43" i="3"/>
  <c r="AE43" i="3"/>
  <c r="AD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J43" i="3"/>
  <c r="I47" i="6" l="1"/>
  <c r="M45" i="6"/>
  <c r="G31" i="6"/>
  <c r="G21" i="6"/>
  <c r="G36" i="6"/>
  <c r="G26" i="6"/>
  <c r="G17" i="6"/>
  <c r="M44" i="6"/>
  <c r="G41" i="6"/>
  <c r="AG43" i="3"/>
  <c r="M47" i="6" l="1"/>
  <c r="G50" i="6"/>
  <c r="G52" i="6" s="1"/>
  <c r="H20" i="6"/>
  <c r="I20" i="6" s="1"/>
  <c r="H39" i="6"/>
  <c r="I39" i="6" s="1"/>
  <c r="H19" i="6"/>
  <c r="I19" i="6" s="1"/>
  <c r="J19" i="6" s="1"/>
  <c r="H16" i="6"/>
  <c r="H24" i="6"/>
  <c r="I24" i="6" s="1"/>
  <c r="H35" i="6"/>
  <c r="I35" i="6" s="1"/>
  <c r="H34" i="6"/>
  <c r="I34" i="6" s="1"/>
  <c r="H25" i="6"/>
  <c r="I25" i="6" s="1"/>
  <c r="H30" i="6"/>
  <c r="I30" i="6" s="1"/>
  <c r="H29" i="6"/>
  <c r="I29" i="6" s="1"/>
  <c r="J29" i="6" s="1"/>
  <c r="H40" i="6"/>
  <c r="I40" i="6" s="1"/>
  <c r="O41" i="3"/>
  <c r="P41" i="3" s="1"/>
  <c r="Q41" i="3" s="1"/>
  <c r="R41" i="3" s="1"/>
  <c r="Q25" i="5"/>
  <c r="Q23" i="5"/>
  <c r="F23" i="5"/>
  <c r="F24" i="5" s="1"/>
  <c r="Q15" i="5"/>
  <c r="Q14" i="5"/>
  <c r="M35" i="6" l="1"/>
  <c r="J35" i="6"/>
  <c r="M24" i="6"/>
  <c r="J24" i="6"/>
  <c r="M40" i="6"/>
  <c r="J40" i="6"/>
  <c r="M39" i="6"/>
  <c r="J39" i="6"/>
  <c r="M30" i="6"/>
  <c r="J30" i="6"/>
  <c r="M20" i="6"/>
  <c r="J20" i="6"/>
  <c r="M25" i="6"/>
  <c r="J25" i="6"/>
  <c r="M34" i="6"/>
  <c r="J34" i="6"/>
  <c r="I21" i="6"/>
  <c r="M19" i="6"/>
  <c r="I31" i="6"/>
  <c r="M29" i="6"/>
  <c r="I26" i="6"/>
  <c r="I36" i="6"/>
  <c r="I41" i="6"/>
  <c r="H50" i="6"/>
  <c r="H52" i="6" s="1"/>
  <c r="I16" i="6"/>
  <c r="J16" i="6" s="1"/>
  <c r="M41" i="3"/>
  <c r="Z41" i="3"/>
  <c r="Q24" i="5"/>
  <c r="Q26" i="5" s="1"/>
  <c r="Q29" i="5" s="1"/>
  <c r="Q30" i="5" s="1"/>
  <c r="M26" i="6" l="1"/>
  <c r="M36" i="6"/>
  <c r="U41" i="3"/>
  <c r="V41" i="3" s="1"/>
  <c r="M41" i="6"/>
  <c r="J21" i="6"/>
  <c r="J17" i="7" s="1"/>
  <c r="J17" i="6"/>
  <c r="J36" i="6"/>
  <c r="J35" i="7" s="1"/>
  <c r="J41" i="6"/>
  <c r="J42" i="7" s="1"/>
  <c r="J26" i="6"/>
  <c r="J23" i="7" s="1"/>
  <c r="J31" i="6"/>
  <c r="J29" i="7" s="1"/>
  <c r="M31" i="6"/>
  <c r="M21" i="6"/>
  <c r="I17" i="6"/>
  <c r="I50" i="6" s="1"/>
  <c r="M16" i="6"/>
  <c r="F6" i="5"/>
  <c r="O13" i="3" s="1"/>
  <c r="P13" i="3" s="1"/>
  <c r="F4" i="5"/>
  <c r="F5" i="5" s="1"/>
  <c r="N43" i="3"/>
  <c r="F3" i="4" s="1"/>
  <c r="K43" i="3"/>
  <c r="G61" i="1"/>
  <c r="G49" i="1"/>
  <c r="G54" i="1" s="1"/>
  <c r="G42" i="1"/>
  <c r="G11" i="1"/>
  <c r="J18" i="7" l="1"/>
  <c r="J19" i="7" s="1"/>
  <c r="J41" i="7"/>
  <c r="J43" i="7" s="1"/>
  <c r="J24" i="7"/>
  <c r="J25" i="7" s="1"/>
  <c r="J30" i="7"/>
  <c r="J31" i="7" s="1"/>
  <c r="J36" i="7"/>
  <c r="J37" i="7" s="1"/>
  <c r="J50" i="6"/>
  <c r="E47" i="7"/>
  <c r="G63" i="1"/>
  <c r="G60" i="1" s="1"/>
  <c r="M17" i="6"/>
  <c r="M50" i="6" s="1"/>
  <c r="M24" i="3"/>
  <c r="Z24" i="3"/>
  <c r="M23" i="3"/>
  <c r="Z23" i="3"/>
  <c r="M40" i="3"/>
  <c r="Z40" i="3"/>
  <c r="M22" i="3"/>
  <c r="Z22" i="3"/>
  <c r="M14" i="3"/>
  <c r="Z14" i="3"/>
  <c r="M34" i="3"/>
  <c r="Z34" i="3"/>
  <c r="M25" i="3"/>
  <c r="Z25" i="3"/>
  <c r="M36" i="3"/>
  <c r="Z36" i="3"/>
  <c r="M15" i="3"/>
  <c r="Z15" i="3"/>
  <c r="M29" i="3"/>
  <c r="Z29" i="3"/>
  <c r="M21" i="3"/>
  <c r="Z21" i="3"/>
  <c r="M13" i="3"/>
  <c r="Z13" i="3"/>
  <c r="M33" i="3"/>
  <c r="Z33" i="3"/>
  <c r="M37" i="3"/>
  <c r="Z37" i="3"/>
  <c r="M27" i="3"/>
  <c r="Z27" i="3"/>
  <c r="M19" i="3"/>
  <c r="Z19" i="3"/>
  <c r="M39" i="3"/>
  <c r="Z39" i="3"/>
  <c r="M31" i="3"/>
  <c r="Z31" i="3"/>
  <c r="M17" i="3"/>
  <c r="Z17" i="3"/>
  <c r="M16" i="3"/>
  <c r="Z16" i="3"/>
  <c r="M35" i="3"/>
  <c r="Z35" i="3"/>
  <c r="M28" i="3"/>
  <c r="Z28" i="3"/>
  <c r="M20" i="3"/>
  <c r="Z20" i="3"/>
  <c r="M32" i="3"/>
  <c r="Z32" i="3"/>
  <c r="M26" i="3"/>
  <c r="Z26" i="3"/>
  <c r="M18" i="3"/>
  <c r="Z18" i="3"/>
  <c r="M38" i="3"/>
  <c r="Z38" i="3"/>
  <c r="M30" i="3"/>
  <c r="Z30" i="3"/>
  <c r="M12" i="3"/>
  <c r="Z12" i="3"/>
  <c r="Q13" i="3"/>
  <c r="R13" i="3" s="1"/>
  <c r="F7" i="5"/>
  <c r="O20" i="3"/>
  <c r="P20" i="3" s="1"/>
  <c r="O35" i="3"/>
  <c r="P35" i="3" s="1"/>
  <c r="O27" i="3"/>
  <c r="P27" i="3" s="1"/>
  <c r="O19" i="3"/>
  <c r="P19" i="3" s="1"/>
  <c r="O12" i="3"/>
  <c r="P12" i="3" s="1"/>
  <c r="O18" i="3"/>
  <c r="P18" i="3" s="1"/>
  <c r="O33" i="3"/>
  <c r="P33" i="3" s="1"/>
  <c r="O25" i="3"/>
  <c r="P25" i="3" s="1"/>
  <c r="O17" i="3"/>
  <c r="P17" i="3" s="1"/>
  <c r="O36" i="3"/>
  <c r="P36" i="3" s="1"/>
  <c r="O34" i="3"/>
  <c r="P34" i="3" s="1"/>
  <c r="O40" i="3"/>
  <c r="P40" i="3" s="1"/>
  <c r="O32" i="3"/>
  <c r="P32" i="3" s="1"/>
  <c r="O24" i="3"/>
  <c r="P24" i="3" s="1"/>
  <c r="O16" i="3"/>
  <c r="P16" i="3" s="1"/>
  <c r="O26" i="3"/>
  <c r="P26" i="3" s="1"/>
  <c r="O39" i="3"/>
  <c r="P39" i="3" s="1"/>
  <c r="O31" i="3"/>
  <c r="P31" i="3" s="1"/>
  <c r="O23" i="3"/>
  <c r="P23" i="3" s="1"/>
  <c r="O15" i="3"/>
  <c r="P15" i="3" s="1"/>
  <c r="O28" i="3"/>
  <c r="P28" i="3" s="1"/>
  <c r="O38" i="3"/>
  <c r="P38" i="3" s="1"/>
  <c r="O30" i="3"/>
  <c r="P30" i="3" s="1"/>
  <c r="O22" i="3"/>
  <c r="P22" i="3" s="1"/>
  <c r="O14" i="3"/>
  <c r="P14" i="3" s="1"/>
  <c r="O37" i="3"/>
  <c r="P37" i="3" s="1"/>
  <c r="O29" i="3"/>
  <c r="P29" i="3" s="1"/>
  <c r="O21" i="3"/>
  <c r="P21" i="3" s="1"/>
  <c r="L43" i="3"/>
  <c r="G47" i="1"/>
  <c r="G57" i="1" s="1"/>
  <c r="G24" i="1"/>
  <c r="G18" i="1"/>
  <c r="G9" i="1" l="1"/>
  <c r="E54" i="7"/>
  <c r="K17" i="7" s="1"/>
  <c r="J66" i="7"/>
  <c r="O16" i="6"/>
  <c r="P16" i="6" s="1"/>
  <c r="K18" i="7"/>
  <c r="K30" i="7"/>
  <c r="L17" i="7"/>
  <c r="L24" i="7"/>
  <c r="L18" i="7"/>
  <c r="L30" i="7"/>
  <c r="K42" i="7"/>
  <c r="K35" i="7"/>
  <c r="L42" i="7"/>
  <c r="L35" i="7"/>
  <c r="L36" i="7"/>
  <c r="K29" i="7"/>
  <c r="K23" i="7"/>
  <c r="L29" i="7"/>
  <c r="L41" i="7"/>
  <c r="L23" i="7"/>
  <c r="K36" i="7"/>
  <c r="K41" i="7"/>
  <c r="K24" i="7"/>
  <c r="L13" i="7"/>
  <c r="L14" i="7" s="1"/>
  <c r="K13" i="7"/>
  <c r="K14" i="7" s="1"/>
  <c r="H29" i="7"/>
  <c r="H17" i="7"/>
  <c r="H18" i="7"/>
  <c r="H41" i="7"/>
  <c r="H42" i="7"/>
  <c r="H23" i="7"/>
  <c r="H13" i="7"/>
  <c r="H36" i="7"/>
  <c r="H24" i="7"/>
  <c r="H30" i="7"/>
  <c r="H35" i="7"/>
  <c r="E64" i="7"/>
  <c r="E66" i="7" s="1"/>
  <c r="F64" i="7"/>
  <c r="M43" i="3"/>
  <c r="Q7" i="5" s="1"/>
  <c r="R24" i="6"/>
  <c r="O40" i="6"/>
  <c r="P40" i="6" s="1"/>
  <c r="Q40" i="6" s="1"/>
  <c r="R35" i="6"/>
  <c r="O34" i="6"/>
  <c r="P34" i="6" s="1"/>
  <c r="R25" i="6"/>
  <c r="O24" i="6"/>
  <c r="P24" i="6" s="1"/>
  <c r="O25" i="6"/>
  <c r="P25" i="6" s="1"/>
  <c r="Q25" i="6" s="1"/>
  <c r="R40" i="6"/>
  <c r="O30" i="6"/>
  <c r="P30" i="6" s="1"/>
  <c r="Q30" i="6" s="1"/>
  <c r="O35" i="6"/>
  <c r="P35" i="6" s="1"/>
  <c r="Q35" i="6" s="1"/>
  <c r="R39" i="6"/>
  <c r="R34" i="6"/>
  <c r="O39" i="6"/>
  <c r="P39" i="6" s="1"/>
  <c r="R20" i="6"/>
  <c r="R30" i="6"/>
  <c r="O20" i="6"/>
  <c r="P20" i="6" s="1"/>
  <c r="Q20" i="6" s="1"/>
  <c r="O29" i="6"/>
  <c r="P29" i="6" s="1"/>
  <c r="R19" i="6"/>
  <c r="R29" i="6"/>
  <c r="O19" i="6"/>
  <c r="P19" i="6" s="1"/>
  <c r="R16" i="6"/>
  <c r="R17" i="6" s="1"/>
  <c r="Q40" i="3"/>
  <c r="R40" i="3" s="1"/>
  <c r="U40" i="3" s="1"/>
  <c r="V40" i="3" s="1"/>
  <c r="Q29" i="3"/>
  <c r="R29" i="3" s="1"/>
  <c r="U29" i="3" s="1"/>
  <c r="V29" i="3" s="1"/>
  <c r="Q31" i="3"/>
  <c r="R31" i="3" s="1"/>
  <c r="U31" i="3" s="1"/>
  <c r="V31" i="3" s="1"/>
  <c r="Q36" i="3"/>
  <c r="R36" i="3" s="1"/>
  <c r="U36" i="3" s="1"/>
  <c r="V36" i="3" s="1"/>
  <c r="Q35" i="3"/>
  <c r="R35" i="3" s="1"/>
  <c r="U35" i="3" s="1"/>
  <c r="V35" i="3" s="1"/>
  <c r="Q34" i="3"/>
  <c r="R34" i="3" s="1"/>
  <c r="U34" i="3" s="1"/>
  <c r="V34" i="3" s="1"/>
  <c r="Q39" i="3"/>
  <c r="R39" i="3" s="1"/>
  <c r="U39" i="3" s="1"/>
  <c r="V39" i="3" s="1"/>
  <c r="Q20" i="3"/>
  <c r="R20" i="3" s="1"/>
  <c r="Q15" i="3"/>
  <c r="R15" i="3" s="1"/>
  <c r="Q19" i="3"/>
  <c r="R19" i="3" s="1"/>
  <c r="Q37" i="3"/>
  <c r="R37" i="3" s="1"/>
  <c r="U37" i="3" s="1"/>
  <c r="V37" i="3" s="1"/>
  <c r="Q22" i="3"/>
  <c r="R22" i="3" s="1"/>
  <c r="Q26" i="3"/>
  <c r="R26" i="3" s="1"/>
  <c r="Q25" i="3"/>
  <c r="R25" i="3" s="1"/>
  <c r="Q23" i="3"/>
  <c r="R23" i="3" s="1"/>
  <c r="Q30" i="3"/>
  <c r="R30" i="3" s="1"/>
  <c r="U30" i="3" s="1"/>
  <c r="V30" i="3" s="1"/>
  <c r="Q16" i="3"/>
  <c r="R16" i="3" s="1"/>
  <c r="Q33" i="3"/>
  <c r="R33" i="3" s="1"/>
  <c r="U33" i="3" s="1"/>
  <c r="V33" i="3" s="1"/>
  <c r="Q21" i="3"/>
  <c r="R21" i="3" s="1"/>
  <c r="Q27" i="3"/>
  <c r="R27" i="3" s="1"/>
  <c r="U27" i="3" s="1"/>
  <c r="V27" i="3" s="1"/>
  <c r="Q38" i="3"/>
  <c r="R38" i="3" s="1"/>
  <c r="U38" i="3" s="1"/>
  <c r="V38" i="3" s="1"/>
  <c r="Q24" i="3"/>
  <c r="R24" i="3" s="1"/>
  <c r="Q18" i="3"/>
  <c r="R18" i="3" s="1"/>
  <c r="Q28" i="3"/>
  <c r="R28" i="3" s="1"/>
  <c r="U28" i="3" s="1"/>
  <c r="V28" i="3" s="1"/>
  <c r="Q32" i="3"/>
  <c r="R32" i="3" s="1"/>
  <c r="U32" i="3" s="1"/>
  <c r="V32" i="3" s="1"/>
  <c r="Q17" i="3"/>
  <c r="R17" i="3" s="1"/>
  <c r="F31" i="5"/>
  <c r="Q14" i="3"/>
  <c r="R14" i="3" s="1"/>
  <c r="F37" i="5"/>
  <c r="F25" i="5"/>
  <c r="S39" i="3" s="1"/>
  <c r="T39" i="3" s="1"/>
  <c r="W39" i="3" s="1"/>
  <c r="X39" i="3" s="1"/>
  <c r="Q12" i="3"/>
  <c r="R12" i="3" s="1"/>
  <c r="P43" i="3"/>
  <c r="O43" i="3"/>
  <c r="G66" i="1"/>
  <c r="O36" i="7" l="1"/>
  <c r="C84" i="8" s="1"/>
  <c r="K84" i="8" s="1"/>
  <c r="W84" i="8" s="1"/>
  <c r="W86" i="8" s="1"/>
  <c r="W89" i="8" s="1"/>
  <c r="K25" i="7"/>
  <c r="K31" i="7"/>
  <c r="L43" i="7"/>
  <c r="L37" i="7"/>
  <c r="L25" i="7"/>
  <c r="K19" i="7"/>
  <c r="K37" i="7"/>
  <c r="O24" i="7"/>
  <c r="K43" i="7"/>
  <c r="O42" i="7"/>
  <c r="L19" i="7"/>
  <c r="O18" i="7"/>
  <c r="O30" i="7"/>
  <c r="L31" i="7"/>
  <c r="H14" i="7"/>
  <c r="O13" i="7"/>
  <c r="H25" i="7"/>
  <c r="H43" i="7"/>
  <c r="H37" i="7"/>
  <c r="H19" i="7"/>
  <c r="H31" i="7"/>
  <c r="R36" i="6"/>
  <c r="R21" i="6"/>
  <c r="P21" i="6"/>
  <c r="Q19" i="6"/>
  <c r="P36" i="6"/>
  <c r="Q34" i="6"/>
  <c r="P41" i="6"/>
  <c r="Q39" i="6"/>
  <c r="R31" i="6"/>
  <c r="R41" i="6"/>
  <c r="P31" i="6"/>
  <c r="Q29" i="6"/>
  <c r="R26" i="6"/>
  <c r="P17" i="6"/>
  <c r="Q16" i="6"/>
  <c r="P26" i="6"/>
  <c r="Q24" i="6"/>
  <c r="O50" i="6"/>
  <c r="G32" i="1"/>
  <c r="G30" i="1" s="1"/>
  <c r="G34" i="1" s="1"/>
  <c r="S27" i="3"/>
  <c r="T27" i="3" s="1"/>
  <c r="W27" i="3" s="1"/>
  <c r="X27" i="3" s="1"/>
  <c r="S31" i="3"/>
  <c r="T31" i="3" s="1"/>
  <c r="W31" i="3" s="1"/>
  <c r="X31" i="3" s="1"/>
  <c r="S35" i="3"/>
  <c r="T35" i="3" s="1"/>
  <c r="W35" i="3" s="1"/>
  <c r="X35" i="3" s="1"/>
  <c r="S32" i="3"/>
  <c r="T32" i="3" s="1"/>
  <c r="W32" i="3" s="1"/>
  <c r="X32" i="3" s="1"/>
  <c r="F26" i="5"/>
  <c r="F29" i="5" s="1"/>
  <c r="F30" i="5" s="1"/>
  <c r="S21" i="3" s="1"/>
  <c r="T21" i="3" s="1"/>
  <c r="S41" i="3"/>
  <c r="T41" i="3" s="1"/>
  <c r="W41" i="3" s="1"/>
  <c r="X41" i="3" s="1"/>
  <c r="S29" i="3"/>
  <c r="T29" i="3" s="1"/>
  <c r="W29" i="3" s="1"/>
  <c r="X29" i="3" s="1"/>
  <c r="S28" i="3"/>
  <c r="T28" i="3" s="1"/>
  <c r="W28" i="3" s="1"/>
  <c r="X28" i="3" s="1"/>
  <c r="S37" i="3"/>
  <c r="T37" i="3" s="1"/>
  <c r="W37" i="3" s="1"/>
  <c r="X37" i="3" s="1"/>
  <c r="S36" i="3"/>
  <c r="T36" i="3" s="1"/>
  <c r="W36" i="3" s="1"/>
  <c r="X36" i="3" s="1"/>
  <c r="S30" i="3"/>
  <c r="T30" i="3" s="1"/>
  <c r="W30" i="3" s="1"/>
  <c r="X30" i="3" s="1"/>
  <c r="S26" i="3"/>
  <c r="T26" i="3" s="1"/>
  <c r="W26" i="3" s="1"/>
  <c r="X26" i="3" s="1"/>
  <c r="S20" i="3"/>
  <c r="T20" i="3" s="1"/>
  <c r="S38" i="3"/>
  <c r="T38" i="3" s="1"/>
  <c r="W38" i="3" s="1"/>
  <c r="X38" i="3" s="1"/>
  <c r="S33" i="3"/>
  <c r="T33" i="3" s="1"/>
  <c r="W33" i="3" s="1"/>
  <c r="X33" i="3" s="1"/>
  <c r="S34" i="3"/>
  <c r="T34" i="3" s="1"/>
  <c r="W34" i="3" s="1"/>
  <c r="X34" i="3" s="1"/>
  <c r="S40" i="3"/>
  <c r="T40" i="3" s="1"/>
  <c r="W40" i="3" s="1"/>
  <c r="X40" i="3" s="1"/>
  <c r="S17" i="3"/>
  <c r="T17" i="3" s="1"/>
  <c r="Q31" i="5"/>
  <c r="F32" i="5"/>
  <c r="F35" i="5" s="1"/>
  <c r="F36" i="5" s="1"/>
  <c r="F16" i="5" s="1"/>
  <c r="Q16" i="5" s="1"/>
  <c r="R43" i="3"/>
  <c r="Q43" i="3"/>
  <c r="P36" i="7" l="1"/>
  <c r="K66" i="7"/>
  <c r="C83" i="8"/>
  <c r="K83" i="8" s="1"/>
  <c r="T83" i="8" s="1"/>
  <c r="T86" i="8" s="1"/>
  <c r="T89" i="8" s="1"/>
  <c r="P30" i="7"/>
  <c r="O14" i="7"/>
  <c r="C64" i="8"/>
  <c r="P13" i="7"/>
  <c r="P14" i="7" s="1"/>
  <c r="C81" i="8"/>
  <c r="P18" i="7"/>
  <c r="C82" i="8"/>
  <c r="K82" i="8" s="1"/>
  <c r="Q82" i="8" s="1"/>
  <c r="Q86" i="8" s="1"/>
  <c r="Q89" i="8" s="1"/>
  <c r="P24" i="7"/>
  <c r="C85" i="8"/>
  <c r="K85" i="8" s="1"/>
  <c r="Z85" i="8" s="1"/>
  <c r="Z86" i="8" s="1"/>
  <c r="Z89" i="8" s="1"/>
  <c r="P42" i="7"/>
  <c r="L66" i="7"/>
  <c r="H66" i="7"/>
  <c r="W21" i="3"/>
  <c r="X21" i="3" s="1"/>
  <c r="S14" i="3"/>
  <c r="T14" i="3" s="1"/>
  <c r="W14" i="3" s="1"/>
  <c r="X14" i="3" s="1"/>
  <c r="W20" i="3"/>
  <c r="X20" i="3" s="1"/>
  <c r="S24" i="3"/>
  <c r="T24" i="3" s="1"/>
  <c r="W24" i="3" s="1"/>
  <c r="X24" i="3" s="1"/>
  <c r="S22" i="3"/>
  <c r="T22" i="3" s="1"/>
  <c r="W22" i="3" s="1"/>
  <c r="X22" i="3" s="1"/>
  <c r="T12" i="3"/>
  <c r="W17" i="3"/>
  <c r="X17" i="3" s="1"/>
  <c r="S15" i="3"/>
  <c r="T15" i="3" s="1"/>
  <c r="W15" i="3" s="1"/>
  <c r="X15" i="3" s="1"/>
  <c r="S25" i="3"/>
  <c r="T25" i="3" s="1"/>
  <c r="W25" i="3" s="1"/>
  <c r="X25" i="3" s="1"/>
  <c r="S23" i="3"/>
  <c r="T23" i="3" s="1"/>
  <c r="W23" i="3" s="1"/>
  <c r="X23" i="3" s="1"/>
  <c r="S18" i="3"/>
  <c r="T18" i="3" s="1"/>
  <c r="W18" i="3" s="1"/>
  <c r="X18" i="3" s="1"/>
  <c r="S19" i="3"/>
  <c r="T19" i="3" s="1"/>
  <c r="W19" i="3" s="1"/>
  <c r="X19" i="3" s="1"/>
  <c r="S16" i="3"/>
  <c r="T16" i="3" s="1"/>
  <c r="W16" i="3" s="1"/>
  <c r="X16" i="3" s="1"/>
  <c r="S13" i="3"/>
  <c r="T13" i="3" s="1"/>
  <c r="W13" i="3" s="1"/>
  <c r="X13" i="3" s="1"/>
  <c r="R50" i="6"/>
  <c r="Q21" i="6"/>
  <c r="P50" i="6"/>
  <c r="Q41" i="6"/>
  <c r="Q17" i="6"/>
  <c r="Q36" i="6"/>
  <c r="Q31" i="6"/>
  <c r="Q26" i="6"/>
  <c r="Q32" i="5"/>
  <c r="Q35" i="5" s="1"/>
  <c r="Q36" i="5" s="1"/>
  <c r="U19" i="3"/>
  <c r="V19" i="3" s="1"/>
  <c r="U24" i="3"/>
  <c r="V24" i="3" s="1"/>
  <c r="U18" i="3"/>
  <c r="V18" i="3" s="1"/>
  <c r="U22" i="3"/>
  <c r="V22" i="3" s="1"/>
  <c r="U21" i="3"/>
  <c r="V21" i="3" s="1"/>
  <c r="U25" i="3"/>
  <c r="V25" i="3" s="1"/>
  <c r="U20" i="3"/>
  <c r="V20" i="3" s="1"/>
  <c r="U23" i="3"/>
  <c r="V23" i="3" s="1"/>
  <c r="U26" i="3"/>
  <c r="V26" i="3" s="1"/>
  <c r="U17" i="3"/>
  <c r="V17" i="3" s="1"/>
  <c r="D28" i="8" s="1"/>
  <c r="K81" i="8" l="1"/>
  <c r="C86" i="8"/>
  <c r="K63" i="8"/>
  <c r="Y63" i="8" s="1"/>
  <c r="Y64" i="8" s="1"/>
  <c r="K62" i="8"/>
  <c r="V62" i="8" s="1"/>
  <c r="V64" i="8" s="1"/>
  <c r="K60" i="8"/>
  <c r="P60" i="8" s="1"/>
  <c r="P64" i="8" s="1"/>
  <c r="K61" i="8"/>
  <c r="S61" i="8" s="1"/>
  <c r="S64" i="8" s="1"/>
  <c r="K59" i="8"/>
  <c r="D76" i="8"/>
  <c r="S42" i="3"/>
  <c r="S43" i="3" s="1"/>
  <c r="W12" i="3"/>
  <c r="X12" i="3" s="1"/>
  <c r="Q50" i="6"/>
  <c r="Q52" i="6" s="1"/>
  <c r="Q37" i="5"/>
  <c r="I21" i="5" s="1"/>
  <c r="Q4" i="5"/>
  <c r="Q10" i="5" s="1"/>
  <c r="M59" i="8" l="1"/>
  <c r="M64" i="8" s="1"/>
  <c r="K64" i="8"/>
  <c r="N81" i="8"/>
  <c r="N86" i="8" s="1"/>
  <c r="N89" i="8" s="1"/>
  <c r="K86" i="8"/>
  <c r="T42" i="3"/>
  <c r="T43" i="3" s="1"/>
  <c r="U12" i="3"/>
  <c r="U13" i="3"/>
  <c r="V13" i="3" s="1"/>
  <c r="U14" i="3"/>
  <c r="V14" i="3" s="1"/>
  <c r="U16" i="3"/>
  <c r="V16" i="3" s="1"/>
  <c r="Q5" i="5"/>
  <c r="Q6" i="5" s="1"/>
  <c r="Q11" i="5" s="1"/>
  <c r="U15" i="3"/>
  <c r="V15" i="3" s="1"/>
  <c r="K55" i="8" l="1"/>
  <c r="X55" i="8" s="1"/>
  <c r="X56" i="8" s="1"/>
  <c r="K52" i="8"/>
  <c r="O52" i="8" s="1"/>
  <c r="O56" i="8" s="1"/>
  <c r="K53" i="8"/>
  <c r="R53" i="8" s="1"/>
  <c r="R56" i="8" s="1"/>
  <c r="K54" i="8"/>
  <c r="U54" i="8" s="1"/>
  <c r="U56" i="8" s="1"/>
  <c r="K51" i="8"/>
  <c r="W42" i="3"/>
  <c r="W43" i="3" s="1"/>
  <c r="D29" i="8"/>
  <c r="D77" i="8" s="1"/>
  <c r="F40" i="7"/>
  <c r="O40" i="7" s="1"/>
  <c r="F22" i="7"/>
  <c r="O22" i="7" s="1"/>
  <c r="F34" i="7"/>
  <c r="O34" i="7" s="1"/>
  <c r="F28" i="7"/>
  <c r="O28" i="7" s="1"/>
  <c r="F16" i="7"/>
  <c r="O16" i="7" s="1"/>
  <c r="U42" i="3"/>
  <c r="C70" i="8" l="1"/>
  <c r="K70" i="8" s="1"/>
  <c r="U70" i="8" s="1"/>
  <c r="U72" i="8" s="1"/>
  <c r="U89" i="8" s="1"/>
  <c r="U91" i="8" s="1"/>
  <c r="U101" i="8" s="1"/>
  <c r="N107" i="8" s="1"/>
  <c r="P34" i="7"/>
  <c r="C71" i="8"/>
  <c r="K71" i="8" s="1"/>
  <c r="X71" i="8" s="1"/>
  <c r="X72" i="8" s="1"/>
  <c r="X89" i="8" s="1"/>
  <c r="X91" i="8" s="1"/>
  <c r="X101" i="8" s="1"/>
  <c r="N108" i="8" s="1"/>
  <c r="P40" i="7"/>
  <c r="C67" i="8"/>
  <c r="P16" i="7"/>
  <c r="C68" i="8"/>
  <c r="K68" i="8" s="1"/>
  <c r="O68" i="8" s="1"/>
  <c r="O72" i="8" s="1"/>
  <c r="O89" i="8" s="1"/>
  <c r="O91" i="8" s="1"/>
  <c r="O101" i="8" s="1"/>
  <c r="M107" i="8" s="1"/>
  <c r="P22" i="7"/>
  <c r="L51" i="8"/>
  <c r="L56" i="8" s="1"/>
  <c r="K56" i="8"/>
  <c r="C69" i="8"/>
  <c r="K69" i="8" s="1"/>
  <c r="R69" i="8" s="1"/>
  <c r="R72" i="8" s="1"/>
  <c r="R89" i="8" s="1"/>
  <c r="R91" i="8" s="1"/>
  <c r="R101" i="8" s="1"/>
  <c r="M108" i="8" s="1"/>
  <c r="P28" i="7"/>
  <c r="U43" i="3"/>
  <c r="V42" i="3"/>
  <c r="D27" i="8" s="1"/>
  <c r="AB13" i="9" l="1" a="1"/>
  <c r="AB13" i="9" s="1"/>
  <c r="K13" i="9" s="1"/>
  <c r="S13" i="9" s="1"/>
  <c r="AB12" i="9" a="1"/>
  <c r="AB12" i="9" s="1"/>
  <c r="K12" i="9" s="1"/>
  <c r="S12" i="9" s="1"/>
  <c r="AB18" i="9" a="1"/>
  <c r="AB18" i="9" s="1"/>
  <c r="K18" i="9" s="1"/>
  <c r="S18" i="9" s="1"/>
  <c r="AB11" i="9" a="1"/>
  <c r="AB11" i="9" s="1"/>
  <c r="K11" i="9" s="1"/>
  <c r="S11" i="9" s="1"/>
  <c r="K67" i="8"/>
  <c r="C72" i="8"/>
  <c r="AB8" i="9" a="1"/>
  <c r="AB8" i="9" s="1"/>
  <c r="K8" i="9" s="1"/>
  <c r="S8" i="9" s="1"/>
  <c r="AB9" i="9" a="1"/>
  <c r="AB9" i="9" s="1"/>
  <c r="K9" i="9" s="1"/>
  <c r="S9" i="9" s="1"/>
  <c r="AB10" i="9" a="1"/>
  <c r="AB10" i="9" s="1"/>
  <c r="K10" i="9" s="1"/>
  <c r="S10" i="9" s="1"/>
  <c r="AB6" i="9" a="1"/>
  <c r="AB6" i="9" s="1"/>
  <c r="K6" i="9" s="1"/>
  <c r="AB7" i="9" a="1"/>
  <c r="AB7" i="9" s="1"/>
  <c r="K7" i="9" s="1"/>
  <c r="S7" i="9" s="1"/>
  <c r="E27" i="8"/>
  <c r="D75" i="8"/>
  <c r="D30" i="8"/>
  <c r="E28" i="8"/>
  <c r="E76" i="8"/>
  <c r="E29" i="8"/>
  <c r="E77" i="8"/>
  <c r="V43" i="3"/>
  <c r="L67" i="8" l="1"/>
  <c r="L72" i="8" s="1"/>
  <c r="L89" i="8" s="1"/>
  <c r="L91" i="8" s="1"/>
  <c r="L101" i="8" s="1"/>
  <c r="K72" i="8"/>
  <c r="S6" i="9"/>
  <c r="E75" i="8"/>
  <c r="D78" i="8"/>
  <c r="E30" i="8"/>
  <c r="F19" i="7"/>
  <c r="G35" i="7"/>
  <c r="G29" i="7"/>
  <c r="G23" i="7"/>
  <c r="G17" i="7"/>
  <c r="G41" i="7"/>
  <c r="F43" i="7"/>
  <c r="F31" i="7"/>
  <c r="F25" i="7"/>
  <c r="F37" i="7"/>
  <c r="L108" i="8" l="1"/>
  <c r="L107" i="8"/>
  <c r="E78" i="8"/>
  <c r="G43" i="7"/>
  <c r="O41" i="7"/>
  <c r="O43" i="7" s="1"/>
  <c r="G19" i="7"/>
  <c r="O17" i="7"/>
  <c r="G25" i="7"/>
  <c r="O23" i="7"/>
  <c r="G31" i="7"/>
  <c r="O29" i="7"/>
  <c r="O31" i="7" s="1"/>
  <c r="G37" i="7"/>
  <c r="O35" i="7"/>
  <c r="F66" i="7"/>
  <c r="AB14" i="9" l="1" a="1"/>
  <c r="AB14" i="9" s="1"/>
  <c r="K14" i="9" s="1"/>
  <c r="AB16" i="9" a="1"/>
  <c r="AB16" i="9" s="1"/>
  <c r="K16" i="9" s="1"/>
  <c r="S16" i="9" s="1"/>
  <c r="AB20" i="9" a="1"/>
  <c r="AB20" i="9" s="1"/>
  <c r="K20" i="9" s="1"/>
  <c r="S20" i="9" s="1"/>
  <c r="AB15" i="9" a="1"/>
  <c r="AB15" i="9" s="1"/>
  <c r="K15" i="9" s="1"/>
  <c r="S15" i="9" s="1"/>
  <c r="AB17" i="9" a="1"/>
  <c r="AB17" i="9" s="1"/>
  <c r="K17" i="9" s="1"/>
  <c r="S17" i="9" s="1"/>
  <c r="AB19" i="9" a="1"/>
  <c r="AB19" i="9" s="1"/>
  <c r="K19" i="9" s="1"/>
  <c r="S19" i="9" s="1"/>
  <c r="O25" i="7"/>
  <c r="C76" i="8"/>
  <c r="O19" i="7"/>
  <c r="C75" i="8"/>
  <c r="O37" i="7"/>
  <c r="C77" i="8"/>
  <c r="G66" i="7"/>
  <c r="S14" i="9" l="1"/>
  <c r="K37" i="9"/>
  <c r="S37" i="9" s="1"/>
  <c r="O66" i="7"/>
  <c r="S24" i="6" s="1"/>
  <c r="T24" i="6" s="1"/>
  <c r="C78" i="8"/>
  <c r="C89" i="8" s="1"/>
  <c r="F75" i="8"/>
  <c r="K75" i="8" s="1"/>
  <c r="P17" i="7" l="1"/>
  <c r="P19" i="7" s="1"/>
  <c r="M75" i="8"/>
  <c r="M78" i="8" s="1"/>
  <c r="M89" i="8" s="1"/>
  <c r="S20" i="6"/>
  <c r="T20" i="6" s="1"/>
  <c r="S35" i="6"/>
  <c r="T35" i="6" s="1"/>
  <c r="S39" i="6"/>
  <c r="T39" i="6" s="1"/>
  <c r="S30" i="6"/>
  <c r="T30" i="6" s="1"/>
  <c r="S19" i="6"/>
  <c r="S25" i="6"/>
  <c r="T25" i="6" s="1"/>
  <c r="S29" i="6"/>
  <c r="S16" i="6"/>
  <c r="T16" i="6" s="1"/>
  <c r="S34" i="6"/>
  <c r="S40" i="6"/>
  <c r="T40" i="6" s="1"/>
  <c r="G76" i="8"/>
  <c r="T26" i="6" l="1"/>
  <c r="C34" i="8"/>
  <c r="K34" i="8" s="1"/>
  <c r="Q34" i="8" s="1"/>
  <c r="Q38" i="8" s="1"/>
  <c r="Q41" i="8" s="1"/>
  <c r="Q42" i="8" s="1"/>
  <c r="Q90" i="8" s="1"/>
  <c r="Q91" i="8" s="1"/>
  <c r="Q101" i="8" s="1"/>
  <c r="W107" i="8" s="1"/>
  <c r="U25" i="6"/>
  <c r="C37" i="8"/>
  <c r="K37" i="8" s="1"/>
  <c r="Z37" i="8" s="1"/>
  <c r="Z38" i="8" s="1"/>
  <c r="Z41" i="8" s="1"/>
  <c r="Z42" i="8" s="1"/>
  <c r="Z90" i="8" s="1"/>
  <c r="Z91" i="8" s="1"/>
  <c r="Z101" i="8" s="1"/>
  <c r="X108" i="8" s="1"/>
  <c r="U40" i="6"/>
  <c r="C35" i="8"/>
  <c r="K35" i="8" s="1"/>
  <c r="T35" i="8" s="1"/>
  <c r="T38" i="8" s="1"/>
  <c r="T41" i="8" s="1"/>
  <c r="T42" i="8" s="1"/>
  <c r="T90" i="8" s="1"/>
  <c r="T91" i="8" s="1"/>
  <c r="T101" i="8" s="1"/>
  <c r="W108" i="8" s="1"/>
  <c r="U30" i="6"/>
  <c r="C33" i="8"/>
  <c r="U20" i="6"/>
  <c r="C36" i="8"/>
  <c r="K36" i="8" s="1"/>
  <c r="W36" i="8" s="1"/>
  <c r="W38" i="8" s="1"/>
  <c r="W41" i="8" s="1"/>
  <c r="W42" i="8" s="1"/>
  <c r="W90" i="8" s="1"/>
  <c r="W91" i="8" s="1"/>
  <c r="W101" i="8" s="1"/>
  <c r="X107" i="8" s="1"/>
  <c r="U35" i="6"/>
  <c r="T17" i="6"/>
  <c r="C24" i="8"/>
  <c r="U16" i="6"/>
  <c r="U17" i="6" s="1"/>
  <c r="S21" i="6"/>
  <c r="S17" i="6"/>
  <c r="S36" i="6"/>
  <c r="S31" i="6"/>
  <c r="T34" i="6"/>
  <c r="C29" i="8" s="1"/>
  <c r="S26" i="6"/>
  <c r="T19" i="6"/>
  <c r="T21" i="6" s="1"/>
  <c r="T41" i="6"/>
  <c r="S41" i="6"/>
  <c r="T29" i="6"/>
  <c r="T31" i="6" s="1"/>
  <c r="H76" i="8"/>
  <c r="K76" i="8" s="1"/>
  <c r="K33" i="8" l="1"/>
  <c r="C38" i="8"/>
  <c r="K23" i="8"/>
  <c r="Y23" i="8" s="1"/>
  <c r="Y24" i="8" s="1"/>
  <c r="K22" i="8"/>
  <c r="V22" i="8" s="1"/>
  <c r="V24" i="8" s="1"/>
  <c r="K19" i="8"/>
  <c r="K20" i="8"/>
  <c r="P20" i="8" s="1"/>
  <c r="P24" i="8" s="1"/>
  <c r="K21" i="8"/>
  <c r="S21" i="8" s="1"/>
  <c r="S24" i="8" s="1"/>
  <c r="AD18" i="9" a="1"/>
  <c r="AD18" i="9" s="1"/>
  <c r="M18" i="9" s="1"/>
  <c r="U18" i="9" s="1"/>
  <c r="AD11" i="9" a="1"/>
  <c r="AD11" i="9" s="1"/>
  <c r="M11" i="9" s="1"/>
  <c r="U11" i="9" s="1"/>
  <c r="AD13" i="9" a="1"/>
  <c r="AD13" i="9" s="1"/>
  <c r="M13" i="9" s="1"/>
  <c r="U13" i="9" s="1"/>
  <c r="AD12" i="9" a="1"/>
  <c r="AD12" i="9" s="1"/>
  <c r="M12" i="9" s="1"/>
  <c r="U12" i="9" s="1"/>
  <c r="AD9" i="9" a="1"/>
  <c r="AD9" i="9" s="1"/>
  <c r="M9" i="9" s="1"/>
  <c r="U9" i="9" s="1"/>
  <c r="AD10" i="9" a="1"/>
  <c r="AD10" i="9" s="1"/>
  <c r="M10" i="9" s="1"/>
  <c r="U10" i="9" s="1"/>
  <c r="AD6" i="9" a="1"/>
  <c r="AD6" i="9" s="1"/>
  <c r="M6" i="9" s="1"/>
  <c r="U6" i="9" s="1"/>
  <c r="AD8" i="9" a="1"/>
  <c r="AD8" i="9" s="1"/>
  <c r="M8" i="9" s="1"/>
  <c r="U8" i="9" s="1"/>
  <c r="AD7" i="9" a="1"/>
  <c r="AD7" i="9" s="1"/>
  <c r="M7" i="9" s="1"/>
  <c r="U7" i="9" s="1"/>
  <c r="P76" i="8"/>
  <c r="P78" i="8" s="1"/>
  <c r="P89" i="8" s="1"/>
  <c r="S76" i="8"/>
  <c r="S78" i="8" s="1"/>
  <c r="S89" i="8" s="1"/>
  <c r="P29" i="7"/>
  <c r="P31" i="7" s="1"/>
  <c r="P23" i="7"/>
  <c r="P25" i="7" s="1"/>
  <c r="T36" i="6"/>
  <c r="T50" i="6" s="1"/>
  <c r="C27" i="8"/>
  <c r="F27" i="8" s="1"/>
  <c r="K27" i="8" s="1"/>
  <c r="S50" i="6"/>
  <c r="C28" i="8"/>
  <c r="I77" i="8"/>
  <c r="J77" i="8" s="1"/>
  <c r="K77" i="8" s="1"/>
  <c r="M19" i="8" l="1"/>
  <c r="M24" i="8" s="1"/>
  <c r="K24" i="8"/>
  <c r="N33" i="8"/>
  <c r="N38" i="8" s="1"/>
  <c r="N41" i="8" s="1"/>
  <c r="N42" i="8" s="1"/>
  <c r="N90" i="8" s="1"/>
  <c r="N91" i="8" s="1"/>
  <c r="N101" i="8" s="1"/>
  <c r="K38" i="8"/>
  <c r="Y77" i="8"/>
  <c r="Y78" i="8" s="1"/>
  <c r="Y89" i="8" s="1"/>
  <c r="V77" i="8"/>
  <c r="V78" i="8" s="1"/>
  <c r="V89" i="8" s="1"/>
  <c r="U19" i="6"/>
  <c r="U21" i="6" s="1"/>
  <c r="M27" i="8"/>
  <c r="M30" i="8" s="1"/>
  <c r="K78" i="8"/>
  <c r="K89" i="8" s="1"/>
  <c r="P41" i="7"/>
  <c r="P43" i="7" s="1"/>
  <c r="P35" i="7"/>
  <c r="P37" i="7" s="1"/>
  <c r="C30" i="8"/>
  <c r="C41" i="8" s="1"/>
  <c r="C42" i="8" s="1"/>
  <c r="G28" i="8"/>
  <c r="M41" i="8" l="1"/>
  <c r="M42" i="8" s="1"/>
  <c r="M90" i="8" s="1"/>
  <c r="M91" i="8" s="1"/>
  <c r="M101" i="8" s="1"/>
  <c r="Q107" i="8" s="1"/>
  <c r="V108" i="8"/>
  <c r="V107" i="8"/>
  <c r="P66" i="7"/>
  <c r="H28" i="8"/>
  <c r="K28" i="8" s="1"/>
  <c r="Q108" i="8" l="1"/>
  <c r="AC15" i="9" s="1" a="1"/>
  <c r="AC15" i="9" s="1"/>
  <c r="L15" i="9" s="1"/>
  <c r="T15" i="9" s="1"/>
  <c r="S28" i="8"/>
  <c r="S30" i="8" s="1"/>
  <c r="S41" i="8" s="1"/>
  <c r="S42" i="8" s="1"/>
  <c r="S90" i="8" s="1"/>
  <c r="S91" i="8" s="1"/>
  <c r="S101" i="8" s="1"/>
  <c r="R108" i="8" s="1"/>
  <c r="P28" i="8"/>
  <c r="P30" i="8" s="1"/>
  <c r="P41" i="8" s="1"/>
  <c r="P42" i="8" s="1"/>
  <c r="P90" i="8" s="1"/>
  <c r="P91" i="8" s="1"/>
  <c r="P101" i="8" s="1"/>
  <c r="R107" i="8" s="1"/>
  <c r="AC16" i="9" a="1"/>
  <c r="AC16" i="9" s="1"/>
  <c r="L16" i="9" s="1"/>
  <c r="T16" i="9" s="1"/>
  <c r="AC20" i="9" a="1"/>
  <c r="AC20" i="9" s="1"/>
  <c r="L20" i="9" s="1"/>
  <c r="T20" i="9" s="1"/>
  <c r="AC14" i="9" a="1"/>
  <c r="AC14" i="9" s="1"/>
  <c r="L14" i="9" s="1"/>
  <c r="T14" i="9" s="1"/>
  <c r="AD14" i="9" a="1"/>
  <c r="AD14" i="9" s="1"/>
  <c r="M14" i="9" s="1"/>
  <c r="U14" i="9" s="1"/>
  <c r="AD20" i="9" a="1"/>
  <c r="AD20" i="9" s="1"/>
  <c r="M20" i="9" s="1"/>
  <c r="U20" i="9" s="1"/>
  <c r="AD16" i="9" a="1"/>
  <c r="AD16" i="9" s="1"/>
  <c r="M16" i="9" s="1"/>
  <c r="U16" i="9" s="1"/>
  <c r="AD19" i="9" a="1"/>
  <c r="AD19" i="9" s="1"/>
  <c r="M19" i="9" s="1"/>
  <c r="U19" i="9" s="1"/>
  <c r="AD15" i="9" a="1"/>
  <c r="AD15" i="9" s="1"/>
  <c r="M15" i="9" s="1"/>
  <c r="U15" i="9" s="1"/>
  <c r="AD17" i="9" a="1"/>
  <c r="AD17" i="9" s="1"/>
  <c r="M17" i="9" s="1"/>
  <c r="U17" i="9" s="1"/>
  <c r="U29" i="6"/>
  <c r="U31" i="6" s="1"/>
  <c r="U24" i="6"/>
  <c r="U26" i="6" s="1"/>
  <c r="I29" i="8"/>
  <c r="J29" i="8" s="1"/>
  <c r="K29" i="8" s="1"/>
  <c r="AC19" i="9" l="1" a="1"/>
  <c r="AC19" i="9" s="1"/>
  <c r="L19" i="9" s="1"/>
  <c r="AC17" i="9" a="1"/>
  <c r="AC17" i="9" s="1"/>
  <c r="L17" i="9" s="1"/>
  <c r="N14" i="9"/>
  <c r="V14" i="9" s="1"/>
  <c r="N20" i="9"/>
  <c r="V20" i="9" s="1"/>
  <c r="N15" i="9"/>
  <c r="V15" i="9" s="1"/>
  <c r="N16" i="9"/>
  <c r="V16" i="9" s="1"/>
  <c r="Y29" i="8"/>
  <c r="Y30" i="8" s="1"/>
  <c r="Y41" i="8" s="1"/>
  <c r="Y42" i="8" s="1"/>
  <c r="Y90" i="8" s="1"/>
  <c r="Y91" i="8" s="1"/>
  <c r="Y101" i="8" s="1"/>
  <c r="S108" i="8" s="1"/>
  <c r="V29" i="8"/>
  <c r="V30" i="8" s="1"/>
  <c r="V41" i="8" s="1"/>
  <c r="V42" i="8" s="1"/>
  <c r="V90" i="8" s="1"/>
  <c r="V91" i="8" s="1"/>
  <c r="V101" i="8" s="1"/>
  <c r="S107" i="8" s="1"/>
  <c r="M37" i="9"/>
  <c r="U37" i="9" s="1"/>
  <c r="AC12" i="9" a="1"/>
  <c r="AC12" i="9" s="1"/>
  <c r="L12" i="9" s="1"/>
  <c r="AC18" i="9" a="1"/>
  <c r="AC18" i="9" s="1"/>
  <c r="L18" i="9" s="1"/>
  <c r="AC11" i="9" a="1"/>
  <c r="AC11" i="9" s="1"/>
  <c r="L11" i="9" s="1"/>
  <c r="T11" i="9" s="1"/>
  <c r="AC13" i="9" a="1"/>
  <c r="AC13" i="9" s="1"/>
  <c r="L13" i="9" s="1"/>
  <c r="K30" i="8"/>
  <c r="K41" i="8" s="1"/>
  <c r="K42" i="8" s="1"/>
  <c r="U39" i="6"/>
  <c r="U41" i="6" s="1"/>
  <c r="U34" i="6"/>
  <c r="U36" i="6" s="1"/>
  <c r="N13" i="9" l="1"/>
  <c r="V13" i="9" s="1"/>
  <c r="T13" i="9"/>
  <c r="N18" i="9"/>
  <c r="V18" i="9" s="1"/>
  <c r="T18" i="9"/>
  <c r="N17" i="9"/>
  <c r="V17" i="9" s="1"/>
  <c r="T17" i="9"/>
  <c r="N12" i="9"/>
  <c r="V12" i="9" s="1"/>
  <c r="T12" i="9"/>
  <c r="N19" i="9"/>
  <c r="V19" i="9" s="1"/>
  <c r="T19" i="9"/>
  <c r="AC9" i="9" a="1"/>
  <c r="AC9" i="9" s="1"/>
  <c r="L9" i="9" s="1"/>
  <c r="AC10" i="9" a="1"/>
  <c r="AC10" i="9" s="1"/>
  <c r="L10" i="9" s="1"/>
  <c r="AC7" i="9" a="1"/>
  <c r="AC7" i="9" s="1"/>
  <c r="L7" i="9" s="1"/>
  <c r="AC8" i="9" a="1"/>
  <c r="AC8" i="9" s="1"/>
  <c r="L8" i="9" s="1"/>
  <c r="AC6" i="9" a="1"/>
  <c r="AC6" i="9" s="1"/>
  <c r="L6" i="9" s="1"/>
  <c r="N11" i="9"/>
  <c r="V11" i="9" s="1"/>
  <c r="U50" i="6"/>
  <c r="N6" i="9" l="1"/>
  <c r="V6" i="9" s="1"/>
  <c r="T6" i="9"/>
  <c r="N8" i="9"/>
  <c r="V8" i="9" s="1"/>
  <c r="T8" i="9"/>
  <c r="N7" i="9"/>
  <c r="V7" i="9" s="1"/>
  <c r="T7" i="9"/>
  <c r="N10" i="9"/>
  <c r="V10" i="9" s="1"/>
  <c r="T10" i="9"/>
  <c r="N9" i="9"/>
  <c r="V9" i="9" s="1"/>
  <c r="T9" i="9"/>
  <c r="L37" i="9"/>
  <c r="T37" i="9" s="1"/>
  <c r="N37" i="9" l="1"/>
  <c r="V3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tc={7167DF97-289C-4BDA-B06A-A8CE07D4E8DD}</author>
  </authors>
  <commentList>
    <comment ref="B36" authorId="0" shapeId="0" xr:uid="{7167DF97-289C-4BDA-B06A-A8CE07D4E8DD}">
      <text>
        <t>[Threaded comment]
Your version of Excel allows you to read this threaded comment; however, any edits to it will get removed if the file is opened in a newer version of Excel. Learn more: https://go.microsoft.com/fwlink/?linkid=870924
Comment:
    Derived as difference of Requirement and Consumption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tc={4555DAA6-A4E0-4A3D-BD9A-23F29896128B}</author>
    <author>tc={814D47C8-A3FD-48D4-BA60-943F875C431C}</author>
    <author>tc={A1819A11-1DA6-4476-BB57-5DD12363DE9A}</author>
    <author>tc={32290DFE-A17E-4BBD-93B2-78A04908F018}</author>
    <author>tc={262A91E0-8484-409F-A328-FA0078059EA3}</author>
    <author>tc={C47B3C03-8E4A-4461-B654-FE2138EAED9D}</author>
    <author>tc={4C85EC83-CE04-481C-82E8-74A7D83F8BD6}</author>
    <author>tc={FB86D427-B3D0-4040-8BD0-79DC3FF49046}</author>
    <author>tc={56E9936C-C410-4070-95C0-B320FAE30BB1}</author>
    <author>tc={783A29A9-883D-4C33-836F-47686BD5794D}</author>
  </authors>
  <commentList>
    <comment ref="B19" authorId="0" shapeId="0" xr:uid="{4555DAA6-A4E0-4A3D-BD9A-23F29896128B}">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20" authorId="1" shapeId="0" xr:uid="{814D47C8-A3FD-48D4-BA60-943F875C431C}">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24" authorId="2" shapeId="0" xr:uid="{A1819A11-1DA6-4476-BB57-5DD12363DE9A}">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25" authorId="3" shapeId="0" xr:uid="{32290DFE-A17E-4BBD-93B2-78A04908F018}">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29" authorId="4" shapeId="0" xr:uid="{262A91E0-8484-409F-A328-FA0078059EA3}">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30" authorId="5" shapeId="0" xr:uid="{C47B3C03-8E4A-4461-B654-FE2138EAED9D}">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34" authorId="6" shapeId="0" xr:uid="{4C85EC83-CE04-481C-82E8-74A7D83F8BD6}">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35" authorId="7" shapeId="0" xr:uid="{FB86D427-B3D0-4040-8BD0-79DC3FF49046}">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39" authorId="8" shapeId="0" xr:uid="{56E9936C-C410-4070-95C0-B320FAE30BB1}">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40" authorId="9" shapeId="0" xr:uid="{783A29A9-883D-4C33-836F-47686BD5794D}">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<sst xmlns="http://schemas.openxmlformats.org/spreadsheetml/2006/main" count="824" uniqueCount="472">
  <si>
    <t>XXX</t>
  </si>
  <si>
    <t>A</t>
  </si>
  <si>
    <t>B</t>
  </si>
  <si>
    <t>C</t>
  </si>
  <si>
    <t>D</t>
  </si>
  <si>
    <t>(A - B + C)</t>
  </si>
  <si>
    <t>E</t>
  </si>
  <si>
    <t>F</t>
  </si>
  <si>
    <t>G</t>
  </si>
  <si>
    <t>H</t>
  </si>
  <si>
    <t>I</t>
  </si>
  <si>
    <t>J</t>
  </si>
  <si>
    <t>HV</t>
  </si>
  <si>
    <t>MV</t>
  </si>
  <si>
    <t>LV</t>
  </si>
  <si>
    <t>%</t>
  </si>
  <si>
    <t>XX</t>
  </si>
  <si>
    <t>Total</t>
  </si>
  <si>
    <t>Allocated values</t>
  </si>
  <si>
    <t>Sub-total</t>
  </si>
  <si>
    <t>Urban</t>
  </si>
  <si>
    <t>Rural</t>
  </si>
  <si>
    <t>After voltage-wise re-allocations</t>
  </si>
  <si>
    <t>$$$/ Customer</t>
  </si>
  <si>
    <t>Gross fixed assets (GFA)</t>
  </si>
  <si>
    <t>التعريف</t>
  </si>
  <si>
    <t>يدفع المستهلكون فاتورة الكهرباء الخاصة بهم بعد إنشاء الفاتورة. يأخذ العملاء وديعة الضمان في فاتورة الكهرباء لضمان عدم تكبد مجلس الكهرباء أي خسارة. في حالة عدم دفع العميل لفواتير الكهرباء الخاصة به، على الرغم من الإشعار والتحذير - سيتم خصم مبلغ فاتورة الكهرباء الخاصة به من وديعة الضمان. يعتمد مبلغ الوديعة عادةً على متوسط ​​التكلفة الشهرية للكهرباء خلال العام السابق.</t>
  </si>
  <si>
    <t>إن العمل الرأسمالي قيد التنفيذ (CWIP) هو تكلفة الأصول الثابتة التي لا تزال قيد الإنشاء أو التطوير وليست جاهزة للاستخدام بعد. وهو بند في الميزانية العمومية يتضمن نفقات مثل: تكاليف البناء، وشراء المعدات، وغيرها من النفقات المتعلقة بالمشروع.</t>
  </si>
  <si>
    <t>الذروة المتزامنة هي مساهمة كل فئة من فئات المستهلكين في ذروة الطلب على النظام أو قيمة طلب فئة المستهلك في وقت ذروة النظام</t>
  </si>
  <si>
    <t>تتضمن الأصول المرتبطة بالعملاء أصولاً مثل خط خدمة العملاء ومحول العميل والعدادات وما إلى ذلك.</t>
  </si>
  <si>
    <t>تختلف التكاليف المرتبطة بالعملاء باختلاف عدد العملاء. وتشمل هذه جميع التكاليف المرتبطة بتوفير خدمات الكهرباء للعملاء. على سبيل المثال، التكاليف المرتبطة بتوصيل الخدمة والقياس والفاتورة والتحصيل وخدمة العملاء.</t>
  </si>
  <si>
    <t>تعتبر رسوم الطلب مكونات تعتمد على السعة (مُسعرة لكل كيلو وات) لتعريفة التوزيع والتي تفرض على المستخدم وفقًا للحد الأقصى للطاقة التي يستهلكها خلال فترة زمنية معينة. تعتبر رسوم الطلب أحد مكونات تعريفة الكهرباء التجارية التي تعتمد على ذروة استخدام الطاقة من قبل العميل خلال فترة الفوترة. وهي مصممة لمساعدة المرافق على استرداد تكاليف توليد وتوزيع الطاقة.</t>
  </si>
  <si>
    <t>تتضمن الأصول المرتبطة بالطلب أصولاً مثل الخطوط والمحولات ومحطات التوزيع والأنظمة والأجهزة وما إلى ذلك.</t>
  </si>
  <si>
    <t>تتضمن التكاليف المرتبطة بالطلب جميع التكاليف المرتبطة بإنشاء سعة التوليد وسعة الشبكة (النقل والتوزيع) لتلبية طلب المستهلك وتشغيل هذه السعة. على سبيل المثال، تكاليف خدمة الدين المرتبطة بشراء الأصول الثابتة، واستهلاك الأصول الثابتة، ونفقات التشغيل والصيانة المتعلقة بالأصول الثابتة.</t>
  </si>
  <si>
    <t>تغطي رسوم الطاقة التكلفة المتغيرة لتوليد الطاقة.</t>
  </si>
  <si>
    <t>رسوم الطاقة هي عنصر متغير في تعريفة الكهرباء يتم تطبيقه على إجمالي كمية الكهرباء المستهلكة خلال فترة الفوترة</t>
  </si>
  <si>
    <t>استهلاك الطاقة هو مبيعات الطاقة بالإضافة إلى الخسائر غير الفنية</t>
  </si>
  <si>
    <t>متطلبات الطاقة هي استهلاك الطاقة بالإضافة إلى الخسائر الفنية</t>
  </si>
  <si>
    <t>تختلف التكاليف المرتبطة بالطاقة حسب حجم الاستهلاك. تشمل التكاليف المرتبطة باستهلاك الطاقة جميع التكاليف المرتبطة بتوليد وحدات الطاقة. على سبيل المثال تكلفة الوقود الأساسي وتكلفة وقود بدء التشغيل.</t>
  </si>
  <si>
    <t>إن مكون الرسوم الثابتة في تعريفة الكهرباء هو رسوم تغطي تكلفة صيانة البنية الأساسية اللازمة لتزويد المنزل أو العمل بالكهرباء. هذه الرسوم مستقلة عن الاستهلاك الفعلي للكهرباء وعادة ما تكون هي نفسها كل شهر. كما تُعرف أيضًا باسم رسوم العميل.</t>
  </si>
  <si>
    <t>الأصول الثابتة الإجمالية (GFA) هو مصطلح محاسبي يشير إلى التكلفة الإجمالية للأصول الثابتة للشركة، بما في ذلك المعدات والآلات والممتلكات.</t>
  </si>
  <si>
    <t>يعتبر الجهد العالي كممارسة عامة مستوى جهد أعلى من 66 كيلو فولت</t>
  </si>
  <si>
    <t>عامل الحمل هو نسبة استهلاك الطاقة الفعلي إلى استهلاك الطاقة القصوى لفئة معينة من المستهلكين</t>
  </si>
  <si>
    <t>يعتبر الجهد المنخفض كممارسة عامة مستوى جهد 230 فولت، 400 فولت وما إلى ذلك.</t>
  </si>
  <si>
    <t>يعتبر الجهد المتوسط ​​كممارسة عامة مستوى جهد من 11 كيلو فولت إلى 66 كيلو فولت</t>
  </si>
  <si>
    <t>إيجار العداد هو رسوم شهرية يدفعها العملاء إذا لم يمتلكوا عداد الكهرباء الخاص بهم. يمتلك موزع الكهرباء عادةً العداد، ويدفع العميل الإيجار خلال فترة الفوترة. يتم إدراج إيجار العداد في فاتورة الكهرباء الخاصة بالعميل.</t>
  </si>
  <si>
    <t>الذروة غير المتزامنة هي ذروة الطلب لكل فئة من فئات العملاء</t>
  </si>
  <si>
    <t>الأصول الثابتة الصافية (NFA) هي القيمة الإجمالية للأصول الثابتة الإجمالية للشركة، مطروحًا منها إجمالي الاستهلاك المتراكم على نفس الأصول.</t>
  </si>
  <si>
    <t>تعتبر الخسائر الفنية خسائر النظام الكهربائي التي تسببها معاوقة الشبكة وتدفقات التيار والإمدادات المساعدة. وقد تكون مصادر الخسائر الفنية مدفوعة بشكل مباشر بالاستثمار في الشبكة أو بتشغيل الشبكة. الخسائر الفنية هي الخسائر التي تحدث داخل شبكة التوزيع بسبب الكابلات والخطوط الهوائية والمحولات ومعدات المحطات الفرعية الأخرى التي نستخدمها لنقل الكهرباء.</t>
  </si>
  <si>
    <t>تُطبق رسوم إعادة التوصيل عند فصل خط الخدمة بسبب التخلف عن السداد أو انتهاك شروط الإمداد أو طلب مؤقت من المستهلك. يُسمح بإعادة التوصيل في غضون ستة أشهر من الفصل، ولكن لا تُطبق أي رسوم إذا كان الفصل بسبب كارثة طبيعية. تختلف رسوم إعادة التوصيل للكهرباء حسب المزود وسبب الفصل.</t>
  </si>
  <si>
    <t>رسوم السعة (شراء الطاقة)</t>
  </si>
  <si>
    <t>الأعمال الرأسمالية قيد التنفيذ (CWIP)</t>
  </si>
  <si>
    <t>الأصول الممولة بمنح المستهلك (CGF)</t>
  </si>
  <si>
    <t>الوديعة الأمنية للمستهلك (CSD)</t>
  </si>
  <si>
    <t>عامل التزامن</t>
  </si>
  <si>
    <t>الذروة التزامنية (CP)</t>
  </si>
  <si>
    <t>الأصول المرتبطة بالعملاء</t>
  </si>
  <si>
    <t>التكلفة المرتبطة بالعملاء</t>
  </si>
  <si>
    <t>العنصر</t>
  </si>
  <si>
    <t>الرقم المتسلسل</t>
  </si>
  <si>
    <t>الأصول المرتبطة بالطلب</t>
  </si>
  <si>
    <t>التكلفة المرتبطة بالطلب</t>
  </si>
  <si>
    <t>رسوم الطاقة (شراء الطاقة)</t>
  </si>
  <si>
    <t>رسوم الطاقة (الإيرادات - تعرفة الكهرباء)</t>
  </si>
  <si>
    <t>استهلاك الطاقة</t>
  </si>
  <si>
    <t>متطلبات الطاقة</t>
  </si>
  <si>
    <t>التكلفة المرتبطة بالطاقة</t>
  </si>
  <si>
    <t>رسوم ثابتة (الإيرادات - تعرفة الكهرباء)</t>
  </si>
  <si>
    <t>الأصول الثابتة الإجمالية (GFA)</t>
  </si>
  <si>
    <t>الجهد العالي (HV)</t>
  </si>
  <si>
    <t>عامل الحمل</t>
  </si>
  <si>
    <t>الجهد المنخفض (LV)</t>
  </si>
  <si>
    <t>الجهد المتوسط ​​(MV)</t>
  </si>
  <si>
    <t>إيجار العداد</t>
  </si>
  <si>
    <t>ذروة غير متزامنة (NCP)</t>
  </si>
  <si>
    <t>الأصول الثابتة الصافية (NFA)</t>
  </si>
  <si>
    <t>الأصول الثابتة الصافية (NFA) الممولة من قبل المرافق</t>
  </si>
  <si>
    <t>الخسائر غير الفنية</t>
  </si>
  <si>
    <t>الخسائر الفنية</t>
  </si>
  <si>
    <t>مخصص الديون المعدومة</t>
  </si>
  <si>
    <t>رسوم إعادة التوصيل</t>
  </si>
  <si>
    <t>قاعدة الأصول المنظمة (RAB)</t>
  </si>
  <si>
    <t>العائد على قاعدة الأصول المنظمة (RAB)</t>
  </si>
  <si>
    <t>متطلبات الإيرادات (RR)</t>
  </si>
  <si>
    <t>متوسط ​​التكلفة المرجحة لرأس المال (WACC)</t>
  </si>
  <si>
    <t>الأصول التي يمولها العملاء أو أموال المنح، والتي يجب استبعادها عند حساب التكاليف المراد استردادها من التعريفات</t>
  </si>
  <si>
    <t>السنة المالية = XXXX-YY</t>
  </si>
  <si>
    <t>الوحدات = $$$ مليون</t>
  </si>
  <si>
    <t>المصروفات</t>
  </si>
  <si>
    <t>الوقود والمياه والمواد الكيميائية</t>
  </si>
  <si>
    <t>شراء الطاقة</t>
  </si>
  <si>
    <t>رسوم السعة</t>
  </si>
  <si>
    <t>رسوم الطاقة</t>
  </si>
  <si>
    <t>رسوم النقل</t>
  </si>
  <si>
    <t>الصيانة</t>
  </si>
  <si>
    <t>تكاليف الموظفين</t>
  </si>
  <si>
    <t>الإدارة والإدارة العامة</t>
  </si>
  <si>
    <t>الاستهلاك الخاضع للضريبة (باستثناء أصول CGF)</t>
  </si>
  <si>
    <t>إجمالي الاستهلاك (جميع الأصول)</t>
  </si>
  <si>
    <t>أقل: الاستهلاك على أصول CGF</t>
  </si>
  <si>
    <t>الفائدة ونفقات التمويل</t>
  </si>
  <si>
    <t>الفائدة على وديعة الضمان للمستهلك</t>
  </si>
  <si>
    <t>العقوبات والغرامات والمتفرقات وما إلى ذلك.</t>
  </si>
  <si>
    <t>معدل العائد على قاعدة الأصول المنظمة (RAB)</t>
  </si>
  <si>
    <t>الإيرادات التي سيتم استردادها من التعريفات الجمركية</t>
  </si>
  <si>
    <t>الأراضي والمباني</t>
  </si>
  <si>
    <t>الأصول الثابتة الإجمالية الممولة من المرافق (أ - ب)</t>
  </si>
  <si>
    <t>الاستهلاك المتراكم</t>
  </si>
  <si>
    <t>الاستهلاك المتراكم -</t>
  </si>
  <si>
    <t>الأعمال الرأسمالية قيد التنفيذ</t>
  </si>
  <si>
    <t>رأس المال العامل</t>
  </si>
  <si>
    <t>(+) مصاريف التشغيل والصيانة (شهر واحد)</t>
  </si>
  <si>
    <t>(+) مستحقات القبض (شهرين)</t>
  </si>
  <si>
    <t>(-) مستحقات تجارية (شهر واحد)</t>
  </si>
  <si>
    <t>(-) وديعة ضمان المستهلك</t>
  </si>
  <si>
    <t>شبكة الجهد العالي</t>
  </si>
  <si>
    <t>الأصول الثابتة والمتداولة، والخطوط، والشبكات، وما إلى ذلك.</t>
  </si>
  <si>
    <t>أصول أخرى</t>
  </si>
  <si>
    <t>الأصول الثابتة الصافية (NFA) الممولة من المرافق (C - F)</t>
  </si>
  <si>
    <t>عدد الموظفين</t>
  </si>
  <si>
    <t>توليد</t>
  </si>
  <si>
    <t>شبكة الجهد المتوسط ​​والمنخفض (التوزيع والإمداد)</t>
  </si>
  <si>
    <t>ملاحظات:</t>
  </si>
  <si>
    <t>أدخل الموظفين المخصصين لهذه الوظائف. لا تشمل موظفي الوظائف الإدارية أو المؤسسية أو المالية أو الخدمات المشتركة</t>
  </si>
  <si>
    <t>يجب الحفاظ على تعريفات مستوى الجهد كما هو موضح أدناه. إذا لم يتم الحفاظ على عدد الموظفين وفقًا لتعريفات مستوى الجهد، فقم بتقدير عدد الموظفين باستخدام نسبة العملاء المتصلين بمستويات الجهد هذه:</t>
  </si>
  <si>
    <t>مستويات الجهد المتصل</t>
  </si>
  <si>
    <t>الجهد العالي - أعلى من 66 كيلو فولت</t>
  </si>
  <si>
    <t>الجهد المتوسط ​​- من 11 كيلو فولت حتى 66 كيلو فولت</t>
  </si>
  <si>
    <t>الجهد المنخفض - 230 فولت، 400 فولت، إلخ.</t>
  </si>
  <si>
    <t>مستويات الجهد المتصلة</t>
  </si>
  <si>
    <t>عامل التحميل</t>
  </si>
  <si>
    <t>نسبة استهلاك الطاقة الفعلي إلى الذروة</t>
  </si>
  <si>
    <t>معلومات العميل</t>
  </si>
  <si>
    <t>عامل المصادفة</t>
  </si>
  <si>
    <t>نسبة الذروة المتزامنة</t>
  </si>
  <si>
    <t>تحميل فئة العملاء</t>
  </si>
  <si>
    <t>منحنى إلى ذروة النظام.</t>
  </si>
  <si>
    <t>الطاقة = جيجاوات ساعة، القدرة = ميجاوات</t>
  </si>
  <si>
    <t>متزامن (CP): متوافق مع ذروة النظام</t>
  </si>
  <si>
    <t>المبيعات = يتم تحصيلها من العميل</t>
  </si>
  <si>
    <t>الاستهلاك = المبيعات + الخسائر غير الفنية</t>
  </si>
  <si>
    <t>المتطلب = الاستهلاك + الخسائر الفنية</t>
  </si>
  <si>
    <t>اسم الفئة</t>
  </si>
  <si>
    <t>جيو</t>
  </si>
  <si>
    <t>مستوى الجهد</t>
  </si>
  <si>
    <t>عدد العملاء</t>
  </si>
  <si>
    <t>مبيعات الطاقة (سنويا)</t>
  </si>
  <si>
    <t>مبيعات سي بي</t>
  </si>
  <si>
    <t>توزيع الخسائر غير الفنية</t>
  </si>
  <si>
    <t>الخسائر الفنية (الطاقة)</t>
  </si>
  <si>
    <t>ذروة الطلب على النظام</t>
  </si>
  <si>
    <t>خسارة النقل والتوزيع</t>
  </si>
  <si>
    <t>الحمل المتصل لكل عميل</t>
  </si>
  <si>
    <t>رسوم التوصيل</t>
  </si>
  <si>
    <t>رسوم التوصيل المرجحة (رسوم التوصيل × عدد العملاء)</t>
  </si>
  <si>
    <t>شحنة الطاقة</t>
  </si>
  <si>
    <t>رسوم الطلب</t>
  </si>
  <si>
    <t>مُثَبَّت</t>
  </si>
  <si>
    <t>المجموع</t>
  </si>
  <si>
    <t>الإيرادات من بيع الكهرباء (باستثناء الضرائب)</t>
  </si>
  <si>
    <t>الوكلاء لتخصيص تكاليف خدمة العملاء</t>
  </si>
  <si>
    <t>حضري</t>
  </si>
  <si>
    <t>حضري/ريفي؟</t>
  </si>
  <si>
    <t>متصل بأي جهد؟</t>
  </si>
  <si>
    <t>(بين 0 إلى 1)</t>
  </si>
  <si>
    <t>العدد</t>
  </si>
  <si>
    <t>جيجاوات ساعة</t>
  </si>
  <si>
    <t>أضف ما يصل إلى 100%</t>
  </si>
  <si>
    <t>كيلو وات لكل عميل</t>
  </si>
  <si>
    <t>($$$) لكل عميل</t>
  </si>
  <si>
    <t>مليون $$$</t>
  </si>
  <si>
    <t>يجب أن تكون الإدخالات مفصلة للعملاء من نفس فئة الاستهلاك، ولكن مع أماكن في مناطق جغرافية مختلفة (الحضر مقابل الريف)</t>
  </si>
  <si>
    <t>ريفي</t>
  </si>
  <si>
    <t>&lt;------------      ملف تعريف العميل والحمل         ---------------&gt;</t>
  </si>
  <si>
    <t>&lt;----------------------------------------------                          من المبيعات إلى المتطلبات                          ----------------------------------------------&gt;</t>
  </si>
  <si>
    <t>توازن الطاقة - النظام الكلي</t>
  </si>
  <si>
    <t>الخسارة الفنية</t>
  </si>
  <si>
    <t>استهلاك الطاقة (1-2)</t>
  </si>
  <si>
    <t>الخسارة غير الفنية</t>
  </si>
  <si>
    <t>مبيعات الطاقة (3-4)</t>
  </si>
  <si>
    <t>نسب فقدان الطاقة - إجمالي النظام</t>
  </si>
  <si>
    <t>الخسارة الفنية كنسبة مئوية من متطلبات طاقة النظام</t>
  </si>
  <si>
    <t>الخسارة غير الفنية كنسبة مئوية من متطلبات طاقة النظام</t>
  </si>
  <si>
    <t>نسب الخسارة الفنية (الطاقة): حسب الجهد</t>
  </si>
  <si>
    <t>خسارة الجهد العالي كنسبة مئوية من متطلبات الطاقة عند مستوى الجهد العالي</t>
  </si>
  <si>
    <t>خسارة الجهد المتوسط ​​كنسبة مئوية من متطلبات الطاقة عند مستوى الجهد المتوسط</t>
  </si>
  <si>
    <t>خسارة الجهد المنخفض كنسبة مئوية من متطلبات الطاقة عند مستوى الجهد المنخفض</t>
  </si>
  <si>
    <t>توازن الطاقة - من حيث الجهد</t>
  </si>
  <si>
    <t>نظام الجهد العالي</t>
  </si>
  <si>
    <t>المتطلبات</t>
  </si>
  <si>
    <t>أقل: الخسارة الفنية</t>
  </si>
  <si>
    <t>أقل: استهلاك عملاء الجهد العالي</t>
  </si>
  <si>
    <t>يساوي: النقل إلى مستوى الجهد التالي</t>
  </si>
  <si>
    <t>نظام الجهد المتوسط</t>
  </si>
  <si>
    <t>أقل: استهلاك عملاء الجهد المتوسط</t>
  </si>
  <si>
    <t>نظام الجهد المنخفض</t>
  </si>
  <si>
    <t>يساوي: استهلاك عملاء الجهد المنخفض</t>
  </si>
  <si>
    <t>إدخال البيانات الخام</t>
  </si>
  <si>
    <t>مشتقة على أساس</t>
  </si>
  <si>
    <t>توازن الطاقة</t>
  </si>
  <si>
    <t>فقدان الطاقة =&gt; فقدان الطلب</t>
  </si>
  <si>
    <t>عامل التحويل</t>
  </si>
  <si>
    <t xml:space="preserve">محاكاة القيم في </t>
  </si>
  <si>
    <t xml:space="preserve"> الخليةأعلاه  لتحقيق </t>
  </si>
  <si>
    <t>الخطأ المستهدف  القريب من الصفر</t>
  </si>
  <si>
    <t>خطأ</t>
  </si>
  <si>
    <t>ميزان الطاقة - النظام الإجمالي</t>
  </si>
  <si>
    <t>الطلب الأقصى</t>
  </si>
  <si>
    <t>الخسارة الفنية كنسبة مئوية من ذروة الطلب على النظام</t>
  </si>
  <si>
    <t>الخسارة غير الفنية كنسبة مئوية من ذروة الطلب على النظام</t>
  </si>
  <si>
    <t>نسب الخسارة الفنية (الطلب): حسب الجهد</t>
  </si>
  <si>
    <t>خسارة الجهد العالي كنسبة مئوية من متطلبات الطلب على مستوى الجهد العالي</t>
  </si>
  <si>
    <t>خسارة الجهد المتوسط ​​كنسبة مئوية من متطلبات الطلب على مستوى الجهد المتوسط</t>
  </si>
  <si>
    <t>خسارة الجهد المنخفض كنسبة مئوية من متطلبات الطلب على مستوى الجهد المنخفض</t>
  </si>
  <si>
    <t>توازن الطلب - من حيث الجهد</t>
  </si>
  <si>
    <t>مشتق</t>
  </si>
  <si>
    <t>ملاحظة:</t>
  </si>
  <si>
    <t>يجب أن يصل مجموع عوامل التشغيل إلى 100%</t>
  </si>
  <si>
    <t>المرافق المجمعة بالكامل (G+T+D): يتم التشغيل عبر G وT وD</t>
  </si>
  <si>
    <t>المرافق غير المجمعة جزئيًا أو كليًا (G وT+D / G+T وD / G وT وD): يتم التشغيل لوظائف الشبكة فقط</t>
  </si>
  <si>
    <t>فئات التوظيفية</t>
  </si>
  <si>
    <t>توظيفية الأصول</t>
  </si>
  <si>
    <t>توظيفية الأصول الثابتة الإجمالية (GFA)</t>
  </si>
  <si>
    <t>توظيفية الأصول الثابتة الإجمالية غير الموظفة (وفقًا للحسابات المالية)</t>
  </si>
  <si>
    <t>P&amp;M، خطوط، شبكة</t>
  </si>
  <si>
    <t>الأراضي والمباني والأصول الأخرى</t>
  </si>
  <si>
    <t>العوامل الوظيفية</t>
  </si>
  <si>
    <t>توظيفية الأصول الثابتة الصافية (NFA)</t>
  </si>
  <si>
    <t>قاعدة الأصول المنظمة الوظيفية (RAB)</t>
  </si>
  <si>
    <t>المجموع الفرعي (توظيفية الأصول الثابتة الإجمالية غير المعدلة)</t>
  </si>
  <si>
    <t>القيم الوظيفية</t>
  </si>
  <si>
    <t>الاستهلاك المتراكم (حسب الحسابات المالية)</t>
  </si>
  <si>
    <t>الاستهلاك المتراكم المبرمج</t>
  </si>
  <si>
    <t>المصروفات، إجمالي القيمة الدفترية غير المعدلة</t>
  </si>
  <si>
    <t>وحدة الأعمال الاستراتيجية  للتوليد</t>
  </si>
  <si>
    <t>وحدة الأعمال الاستراتيجية لشبكة الجهد العالي</t>
  </si>
  <si>
    <t>الأصول المتعلقة بالعملاء</t>
  </si>
  <si>
    <t>وحدة الأعمال الاستراتيجية لشبكة الجهد المتوسط ​​الحضرية (عملاء المناطق الحضرية)</t>
  </si>
  <si>
    <t>وحدة الأعمال الاستراتيجية لشبكة الجهد المتوسط ​​الريفية (العملاء الريفيون)</t>
  </si>
  <si>
    <t>شبكة الجهد الخفيف الريفية وحدة الأعمال الاستراتيجية (العملاء الريفيون)</t>
  </si>
  <si>
    <t>وفقا للحسابات المالية</t>
  </si>
  <si>
    <t>P&amp;M، خطوط، شبكة، إلخ.</t>
  </si>
  <si>
    <t>أقل: أصول CGF</t>
  </si>
  <si>
    <t>المجموع الفرعي</t>
  </si>
  <si>
    <t>مضبوط</t>
  </si>
  <si>
    <t>Expenses!B7+Output!K4IF(K50&lt;&gt;1,K57 Q52!!RR!!R11 Sum should be 100%","OK")</t>
  </si>
  <si>
    <t>كميات</t>
  </si>
  <si>
    <t>المخرج</t>
  </si>
  <si>
    <t>تكلفة الخدمة (مليون دولار)</t>
  </si>
  <si>
    <t>استرداد الإيرادات الفعلية (مليون دولار)</t>
  </si>
  <si>
    <t>نسبة استرداد التكلفة (%)</t>
  </si>
  <si>
    <t>مبيعات الطاقة (جيجاواط ساعة)</t>
  </si>
  <si>
    <t>التكاليف المتعلقة بالطاقة</t>
  </si>
  <si>
    <t>التكلفة المتعلقة بالعميل</t>
  </si>
  <si>
    <t>التكلفة الاجمالية</t>
  </si>
  <si>
    <t>رسوم ثابتة</t>
  </si>
  <si>
    <t>إجمالي الإيرادات</t>
  </si>
  <si>
    <t>فئة وهمية (إذا لم يتوفر أي عملاء HV)</t>
  </si>
  <si>
    <t>جهد عال</t>
  </si>
  <si>
    <t>وحدة توليد الطاقة</t>
  </si>
  <si>
    <t>التكلفة المرتبطة بالعميل</t>
  </si>
  <si>
    <t>شبكة الجهد المتوسط ​​لعملاء المناطق الحضرية</t>
  </si>
  <si>
    <t>شبكة الجهد المتوسط ​​للعملاء في المناطق الريفية</t>
  </si>
  <si>
    <t>شبكة الجهد المنخفض للعملاء الحضريين</t>
  </si>
  <si>
    <t>شبكة الجهد المنخفض للعملاء في المناطق الريفية</t>
  </si>
  <si>
    <t>وفقًا للحسابات المالية</t>
  </si>
  <si>
    <t>الإدارة والتكاليف العامة</t>
  </si>
  <si>
    <t>أقل:</t>
  </si>
  <si>
    <t>الفائدة على وديعة المستهلك</t>
  </si>
  <si>
    <t>توظيف النفقات</t>
  </si>
  <si>
    <t>فئات الوظائف</t>
  </si>
  <si>
    <t>المصروفات غير الوظيفية (حسب الحسابات المالية)</t>
  </si>
  <si>
    <t>تكلفة الوقود، رسوم الطاقة</t>
  </si>
  <si>
    <t>رسوم شراء الطاقة (السعة)، رسوم النقل</t>
  </si>
  <si>
    <t>تكاليف الصيانة والهندسة والمشتريات والبناء</t>
  </si>
  <si>
    <t>عدد الموظفين (عدد)</t>
  </si>
  <si>
    <t>إجمالي الناتج المحلي غير المعدل</t>
  </si>
  <si>
    <t>المصروفات الداخلية والمالية</t>
  </si>
  <si>
    <t>الإجمالي العادل المعدل</t>
  </si>
  <si>
    <t>الدخل غير الجمركي</t>
  </si>
  <si>
    <t>النفقات الوظيفية</t>
  </si>
  <si>
    <t>ذروة الطلب</t>
  </si>
  <si>
    <t>التوظيفية</t>
  </si>
  <si>
    <t>إعادة توزيع الموارد المتعلقة بالطلب (الشبكة) بين مستويات الجهد</t>
  </si>
  <si>
    <t>تعيد هذه الورقة تخصيص تكاليف الطلب (الشبكة) الوظيفية المرتبطة بالطلب (الشبكة) والنفقات المرتبطة بالطلب (الشبكة) (يُطلق عليها مجتمعة "العوامل") بين مستويات الجهد. والغرض من القيام بذلك هو أن</t>
  </si>
  <si>
    <t>أصول الشبكة عند الفولتات الأعلى يستخدمها العملاء عند الفولتات الأعلى وكذلك المنخفضة. وبالتالي، يتم تخصيص جزء من العوامل عند الفولتات الأعلى لفولتات أقل.</t>
  </si>
  <si>
    <t>تتم إعادة التخصيص بناءً على حصة الجهد المحسوبة للطلب الأقصى. وكخطوة أولى، يتم تخصيص العوامل عند الجهد العالي إلى الجهد العالي بناءً على حصة الجهد العالي في الطلب الأقصى.</t>
  </si>
  <si>
    <t>ثم تتم إضافة عامل الجهد العالي غير المخصص المتبقي إلى عامل الجهد المتوسط ​​"لتحديث" عامل الجهد المتوسط. يتم تخصيص عامل الجهد المتوسط ​​"المحدث" إلى الجهد المتوسط ​​بناءً على حصة الجهد المتوسط ​​في الطلب الأقصى</t>
  </si>
  <si>
    <t>بينما تتم إضافة عامل الجهد المتوسط ​​غير المخصص المتبقي إلى عامل الجهد المنخفض لاستنتاج عامل الجهد المنخفض "المحدث".</t>
  </si>
  <si>
    <t>٪ يشارك</t>
  </si>
  <si>
    <t>من الجهد العالي إلى الجهد العالي</t>
  </si>
  <si>
    <t>الجهد العالي إلى الجهد المتوسط ​​+ الجهد المنخفض</t>
  </si>
  <si>
    <t>الجهد المتوسط إلى الجهد المتوسط</t>
  </si>
  <si>
    <t>الجهد المنخفض إلى الجهد المتوسط</t>
  </si>
  <si>
    <t>الجهد المنخفض</t>
  </si>
  <si>
    <t>القيم المعاد تخصيصها</t>
  </si>
  <si>
    <t>متعلق بالطلب</t>
  </si>
  <si>
    <t>متعلق بالعملاء</t>
  </si>
  <si>
    <t>الجهد المتوسط في الحضر</t>
  </si>
  <si>
    <t>الجهد المتوسط في الريف</t>
  </si>
  <si>
    <t>الجهد المنخفض في الريف</t>
  </si>
  <si>
    <t>الجهد المنخفض في الحضر</t>
  </si>
  <si>
    <t>إعادة توزيع الجهد الكهربي لـ قاعدة الأصول المنظمة</t>
  </si>
  <si>
    <t>ملخص قاعدة الأصول المنظمة حسب العملاء</t>
  </si>
  <si>
    <t>ملخص النفقات + العائد على قاعدة الأصول المنظمة حسب العميل</t>
  </si>
  <si>
    <t>الطلب (الشبكة) المرتبط بـ قاعدة الأصول المنظمة</t>
  </si>
  <si>
    <t>قاعدة الأصول المنظمة</t>
  </si>
  <si>
    <t>العائد من قاعدة الأصول المنظمة</t>
  </si>
  <si>
    <t>نفقات مرتبطة بالطلب على وحدات الأعمال التجارية الاستراتيجية من التوليد</t>
  </si>
  <si>
    <t>نفقات متعلقة بالطاقة في وحدة الأعمال التجارية الاستراتيجية لتوليد الطاقة</t>
  </si>
  <si>
    <t>الجهد العالي</t>
  </si>
  <si>
    <t>الطلب (الشبكة) النفقات المتعلقة</t>
  </si>
  <si>
    <t>الجهد المنخفض (الحضري+الريفي)</t>
  </si>
  <si>
    <t>النفقات المتعلقة بالعملاء</t>
  </si>
  <si>
    <t>إم في الريفية</t>
  </si>
  <si>
    <t>نفقات</t>
  </si>
  <si>
    <t>العودة إلى قاعدة الأصول</t>
  </si>
  <si>
    <t>المصروفات + العائد على أصول الأصول</t>
  </si>
  <si>
    <t>الجهد المتوسط (حضري + ريفي)</t>
  </si>
  <si>
    <t>النفقات المتعلقة بالطاقة (الشبكة)</t>
  </si>
  <si>
    <t>المجهد المنخفض في الريف</t>
  </si>
  <si>
    <t>متعلقة بالطاقة</t>
  </si>
  <si>
    <t>إعادة توزيع النفقات حسب الجهد</t>
  </si>
  <si>
    <t>اشتقاق التكاليف لكل وحدة</t>
  </si>
  <si>
    <t>مبيعات ذروة غير متزامنة، (ميغاواط)</t>
  </si>
  <si>
    <t>الجهد المتوسط في الحضر + الريف</t>
  </si>
  <si>
    <t>الجهد المنخفض في الحضر + الريف</t>
  </si>
  <si>
    <t>الجهجد المتوسط في الريف</t>
  </si>
  <si>
    <t>قاعدة الأصول المنظمة المرتبطة بالعملاء</t>
  </si>
  <si>
    <t>مبيعات الذروة غير المتزامنة (ميغاواط)</t>
  </si>
  <si>
    <t>$$$$/كيلوواط ساعة</t>
  </si>
  <si>
    <t>$$$/ كيلوواط</t>
  </si>
  <si>
    <t>$$$/كيلوواط</t>
  </si>
  <si>
    <t>$$$/ العميل</t>
  </si>
  <si>
    <t>التكلفة المتعلقة بالطاقة لكل وحدة</t>
  </si>
  <si>
    <t>تكلفة الوحدة المرتبطة بالطلب</t>
  </si>
  <si>
    <t>تكلفة الوحدة المتعلقة بالعميل</t>
  </si>
  <si>
    <t>الحضر</t>
  </si>
  <si>
    <t>الريف</t>
  </si>
  <si>
    <t>الجهد المتوسط</t>
  </si>
  <si>
    <t>تكلفة الوحدة</t>
  </si>
  <si>
    <t>الكمية</t>
  </si>
  <si>
    <t>$$$/ كيلو وات</t>
  </si>
  <si>
    <t>الأخطاء</t>
  </si>
  <si>
    <t>متوسط ​​التكلفة المرجحة لرأس المال (WACC) هو متوسط ​​المعدل الذي تدفعه شركة المرافق لتمويل أصولها. يتم حسابه من خلال حساب متوسط ​​معدل جميع مصادر رأس مال الشركة (كل من الديون والأسهم)، مرجحًا بنسبة كل مكون. في هذا النموذج، في غياب معدل العائد المعتمد من قبل الجهة التنظيمية، يمكن استخدامه لحساب العائد على قاعدة الأصول التنظيمية</t>
  </si>
  <si>
    <t xml:space="preserve">العائد من قاعدة الأصول التنظيمية هو معدل العائد وفقًا لقاعدة الأصول التنظيمية (RAB) كما هي اعتمددت من قبل المنظم. في حالة عدم وجود معدل اعتماد معتمد من الهيئة التنظيمية، يمكن الحصول على اعتماده أعمال رأس المال قيد التنفيذ. </t>
  </si>
  <si>
    <t>فترة إعداد التقارير: أحدث سنة مالية قد تتوفر بياناتها</t>
  </si>
  <si>
    <t>العملة: عملة إعداد التقارير الخاصة بالقوائم المالية</t>
  </si>
  <si>
    <t>التغطية: أعمال الكهرباء فقط. استبعاد الأعمال الأخرى مثل الغاز والمياه وما إلى ذلك.</t>
  </si>
  <si>
    <t>متطلبات الإيرادات المتعلقة بسلسلة قيمة الكهرباء بالكامل (التوليد وشراء الطاقة والنقل والتوزيع وتوريد التجزئة) المراد تضمينها.</t>
  </si>
  <si>
    <t xml:space="preserve">متطلبات الإيرادات السنوية من التعريفات </t>
  </si>
  <si>
    <t>فترة إعداد التقارير: الرصيد الختامي للسنة المالية الأخيرة التي قد تتوفر بياناتها</t>
  </si>
  <si>
    <t>العملة: عملة إعداد التقارير المالية</t>
  </si>
  <si>
    <t>قاعدة الأصول المنظمة (G+H+I)</t>
  </si>
  <si>
    <t>تغطي رسوم السعة (الرسوم الثابتة) التكاليف الثابتة لشركة مشروع الطاقة، بما في ذلك العائد على حقوق الملكية.</t>
  </si>
  <si>
    <t>إن الأصول المموَّلة بمنح المستهلك (CGF) هي تلك التي يمولها العملاء، أو يتم تمويلها من أموال المنح، والتي يجب استبعادها عند حساب التكاليف التي سيتم استردادها من التعريفات</t>
  </si>
  <si>
    <t>عامل التزامن هو نسبة الذروة المتزامنة لمنحنى تحميل فئة العملاء إلى ذروة الفئة، أي الذروة غير المتزامنة</t>
  </si>
  <si>
    <t>تتضمن الأصول الثابتة الصافية (NFA) الممولة من قبل المرافق خصم الاستهلاك المتراكم على الأصول الممولة من المرافق من إجمالي الأصول الثابتة الممولة من المرافق. ويتم النظر في الاستهلاك المتراكم على الأصول الممولة من المرافق بعد خصم الاستهلاك المتراكم على الأصول المموَّلة بمنح المستهلك (CGF).</t>
  </si>
  <si>
    <t>تنشأ الخسائر غير الفنية من عدة أسباب بما في ذلك السرقة، والحسابات غير المفوترة، وحسابات العملاء المقدرة، والأخطاء الناتجة عن تقريب الاستهلاك من خلال الإمدادات غير المقيسة، وأخطاء القياس، وما إلى ذلك.</t>
  </si>
  <si>
    <t>يتم الحصول على قاعدة الأصول المنظمة عن طريق إضافة أعمال رأس المال قيد التنفيذ (CWIP) ورأس المال العامل الصافي (NWC) إلى الأصول الثابتة الصافية (NFA) الممولة من المرفق.</t>
  </si>
  <si>
    <t>متطلبات الإيرادات (RR) هي إجمالي جميع تكاليف التشغيل ورأس المال والتمويل بالإضافة إلى ما يجب استرداده من العملاء من خلال التعريفة، مع تحديده لأي دخل يتم الحصول عليه من العملاء من خلال مصادر غير محددة (مثل إيجار العداد، والعقوبات المتنوعة في الدفع، والفائدة التي حصلت على الوديعة الأمنية، وما إلى ذلك).</t>
  </si>
  <si>
    <t>وحدة الأعمال التجارية الاستراتيجية (SBU)</t>
  </si>
  <si>
    <t>وحدة الأعمال التجارية الإستراتيجية (SBU) هي وحدة أعمال تجارية داخل منظمة أكبر تعمل كقسم أعمال تجارية منفصل، بخططها وأنشطتها الخاصة. هذه الوحدات استراتيجية للأعمال التجارية هي مراكز ربحية تركز  على شريحة سوقية محددة. في سياقنا، تعني وحدة الأعمال التجارية الإستراتيجية خدمات التوليد والنقل والتوزيع  في الحضر والتوزيع في الريف، والخدمات الشركاتية والمشتركة.</t>
  </si>
  <si>
    <t>خلية إدخال البيانات الخام</t>
  </si>
  <si>
    <t>الأصول التي يمولها العملاء أو أموال المنح</t>
  </si>
  <si>
    <t>وحدة الأعمال التجارية الاستراتيجية</t>
  </si>
  <si>
    <t>وحدة الأعمال الاستراتيجية (وحدة الأعمال التجارية الإستراتيجية (خدمات التوليد والنقل والتوزيع  في الحضر والتوزيع في الريف، والخدمات الشركاتية والخدمات المشتركة)</t>
  </si>
  <si>
    <t>Item</t>
  </si>
  <si>
    <t>Capacity charge (Power Purchase)</t>
  </si>
  <si>
    <t>Capital works in progress (CWIP)</t>
  </si>
  <si>
    <t>Consumer grant funded assets (CGF)</t>
  </si>
  <si>
    <t>Consumer security deposit (CSD)</t>
  </si>
  <si>
    <t>Coincidence factor</t>
  </si>
  <si>
    <t>Coincident peak (CP)</t>
  </si>
  <si>
    <t>Customer related assets</t>
  </si>
  <si>
    <t>Customer related cost</t>
  </si>
  <si>
    <t>Demand charge (Revenue - Electricity Tariff)</t>
  </si>
  <si>
    <t>Demand related assets</t>
  </si>
  <si>
    <t>Demand related cost</t>
  </si>
  <si>
    <t>Energy charge (Power Purchase)</t>
  </si>
  <si>
    <t>Energy charge (Revenue - Electricity Tariff)</t>
  </si>
  <si>
    <t>Energy consumption</t>
  </si>
  <si>
    <t>Energy requirement</t>
  </si>
  <si>
    <t>Energy related cost</t>
  </si>
  <si>
    <t>Fixed charge (Revenue - Electricity Tariff)</t>
  </si>
  <si>
    <t>High Voltage (HV)</t>
  </si>
  <si>
    <t>Load factor</t>
  </si>
  <si>
    <t>Low Voltage (LV)</t>
  </si>
  <si>
    <t>Medium Voltage (MV)</t>
  </si>
  <si>
    <t>Meter rent</t>
  </si>
  <si>
    <t>Non-Coincident Peak (NCP)</t>
  </si>
  <si>
    <t>Net fixed assets (NFA)</t>
  </si>
  <si>
    <t>Net fixed assets (NFA) financed by the utility</t>
  </si>
  <si>
    <t>Non technical losses</t>
  </si>
  <si>
    <t>Technical losses</t>
  </si>
  <si>
    <t>Provision for bad debts</t>
  </si>
  <si>
    <t>Reconnection charges</t>
  </si>
  <si>
    <t>Regulated asset base (RAB)</t>
  </si>
  <si>
    <t>Return on RAB</t>
  </si>
  <si>
    <t>Revenue Requirement (RR)</t>
  </si>
  <si>
    <t>Strategic Business Unit (SBU)</t>
  </si>
  <si>
    <t>Weighted average cost of capital (WACC)</t>
  </si>
  <si>
    <t>المرافق غير المجمعة جزئيًا أو كليًا (G وT+D / G+T وD / G وT وD): أدخل متطلبات الإيرادات وقاعدة الأصول المنظمة للشرائح التي تواجه العملاء فقط أي D وT (إن أمكن)؛ استخدم رؤوس "شراء الطاقة" و"النقل" لالتقاط متطلبات الإيرادات وقاعدة الأصول المنظمة لوظائف التوليد والنقل (إذا أمكن)</t>
  </si>
  <si>
    <t>المرافق المجمعة بالكامل (G+T+D): أدخل متطلبات الإيرادات وقاعدة الأصول المنظمةRAB للمرافق بالكامل</t>
  </si>
  <si>
    <t>في حالة اتصال العملاء بمرافق نقل أو توزيع متعددة، قم إما بتجميع متطلبات الإيرادات وقاعدة الأصول المنظمة لجميع المرافق أو قم بتطوير نماذج منفصلة لتكلفة الخدمة لكل مرفق</t>
  </si>
  <si>
    <t>يجب إدخال عدد الموظفين فقط لتلك الوحدات الاستراتيجية التي تم إدخال متطلبات الإيرادات الخاصة بها في الجدول أعلاه</t>
  </si>
  <si>
    <t>الدخل من المصادر  غير التعريفية المتعلقة بالأعمال التجارية للكهرباء</t>
  </si>
  <si>
    <t>المعدل</t>
  </si>
  <si>
    <t>اعتبرها صفرًا نظرًا لأن العائد على قاعدة الأصول الكاملة منصوص عليه في متطلبات الإيرادات</t>
  </si>
  <si>
    <t xml:space="preserve"> الأصول الممولة بمنح المستهلك (القيمة الإجمالية)</t>
  </si>
  <si>
    <t>الأصول الممولة بمنح المستهلك (الاستهلاك المتراكم)</t>
  </si>
  <si>
    <t>ميجاوات</t>
  </si>
  <si>
    <t>الفئة 1</t>
  </si>
  <si>
    <t>الفئة 2</t>
  </si>
  <si>
    <t>الفئة 3</t>
  </si>
  <si>
    <t>الفئة 4</t>
  </si>
  <si>
    <t>الفئة 5</t>
  </si>
  <si>
    <t>الفئة 6</t>
  </si>
  <si>
    <t>الفئة 7</t>
  </si>
  <si>
    <t>الفئة 8</t>
  </si>
  <si>
    <t>الفئة 9</t>
  </si>
  <si>
    <t>الفئة 10</t>
  </si>
  <si>
    <t>الفئة 11</t>
  </si>
  <si>
    <t>الفئة 12</t>
  </si>
  <si>
    <t>الفئة 13</t>
  </si>
  <si>
    <t>الفئة 14</t>
  </si>
  <si>
    <t>الفئة 15</t>
  </si>
  <si>
    <t>الفئة 16</t>
  </si>
  <si>
    <t>الفئة 17</t>
  </si>
  <si>
    <t>الفئة 18</t>
  </si>
  <si>
    <t>الفئة 19</t>
  </si>
  <si>
    <t>الفئة 20</t>
  </si>
  <si>
    <t>الفئة 21</t>
  </si>
  <si>
    <t>الفئة 22</t>
  </si>
  <si>
    <t>الفئة 23</t>
  </si>
  <si>
    <t>الفئة 24</t>
  </si>
  <si>
    <t>الفئة 25</t>
  </si>
  <si>
    <t>الفئة 26</t>
  </si>
  <si>
    <t>الفئة 27</t>
  </si>
  <si>
    <t>الفئة 28</t>
  </si>
  <si>
    <t>الفئة 29</t>
  </si>
  <si>
    <t>الفئة 30</t>
  </si>
  <si>
    <t>فئة وهمية (إذا لم يتوفر عملاء الجهد العالي)</t>
  </si>
  <si>
    <t>استهلاك الذروة غير المتزامنة</t>
  </si>
  <si>
    <t>استهلاك الذروة التزامنية</t>
  </si>
  <si>
    <t>مبيعات الذروة غير المتزامنة</t>
  </si>
  <si>
    <t>عامل التزامنية</t>
  </si>
  <si>
    <t>غير متزامن (NCP): ذروة الفئة</t>
  </si>
  <si>
    <t>استهلاك الطاقة لفئة عملاء معينة</t>
  </si>
  <si>
    <t>المبيعات = فواتير للعميل</t>
  </si>
  <si>
    <t>المتطلبات = الاستهلاك + الخسائر الفنية</t>
  </si>
  <si>
    <t>إذا لم يكن مستوى الجهد أو المنطقة الجغرافية المعينة قابلاً للتطبيق، على سبيل المثال الجهد المتوسط في الريف، فاستخدم 0% كعامل تشغيل مقابل هذه الوظيفة.</t>
  </si>
  <si>
    <t>نسبة P&amp;M والخطوط والشبكة</t>
  </si>
  <si>
    <t>نسبة إجمالي الأصول الثابتة المعدلة</t>
  </si>
  <si>
    <t xml:space="preserve">الأعمال الرأسمالية قيد التنفيذ </t>
  </si>
  <si>
    <t>الاستهلاك (باستثناء  الأصول الممولة بمنح المستهلك )</t>
  </si>
  <si>
    <t>الأصول المالية الصافية المعدلة وظيفيًا (المعدلة وفقًا للأصول الممولة بمنح المستهلك )</t>
  </si>
  <si>
    <t>إجمالي الأصول الثابتة مُعدلة وظيفيًا (معدلة وفقًا للأصول الممولة بمنح المستهلك )</t>
  </si>
  <si>
    <t>قاعدة الأصول المنظمة وظيفية (معدلة للأصول الممولة بمنح المستهلك )</t>
  </si>
  <si>
    <t>إجمالي الأصول الثابتة المعدل</t>
  </si>
  <si>
    <t>إجمالي الأصول الثابتة غير المعدل</t>
  </si>
  <si>
    <t>الاستهلاك (باستثناء لأصول الممولة بمنح المستهلك)</t>
  </si>
  <si>
    <t>أقل: الاستهلاك علىلأصول الممولة بمنح المستهلك</t>
  </si>
  <si>
    <t>ملاحظة</t>
  </si>
  <si>
    <t>التوليد والوحدة الاستراتيجية للأعمال التجارية وقاعدة الأصول المنظمة</t>
  </si>
  <si>
    <t>٪ الحصة</t>
  </si>
  <si>
    <t>إجمالي الأصول الثابتة (GFA)</t>
  </si>
  <si>
    <t>رسوم الطلب (الإيرادات - تعرفة الكهرباء)</t>
  </si>
  <si>
    <t>يعد مخصص الديون المعدومة تقديرًا لمبلغ المال المستحق على الشركة والذي من غير المرجح سداده. ويُعرف أيضًا باسم مخصص الديون المشكوك في تحصيلها أو مخصص الحسابات المشكوك في تحصيلها.
قد تقوم الشركة بتخصيص مخصص للديون المعدومة لتغطية الديون التي لا يُتوقع سدادها خلال فترة محاسبية. ويستند المخصص إلى تقدير مقدار الحسابات المستحقة القبض التي لن يتم تحصيلها خلال الفترة المحددة. لا يمكن خصم مخصص عام، مثل 2% من المدينين، لأغراض ضريبية. ومع ذلك، يمكن خصم مخصص محدد إذا كان هناك دليل مستندي على أن الديون من غير المرجح سدادها.</t>
  </si>
  <si>
    <t>خلية تعتمد على الصيغة  (المعادلة)</t>
  </si>
  <si>
    <r>
      <t xml:space="preserve">وحدة التوظيف = </t>
    </r>
    <r>
      <rPr>
        <sz val="10"/>
        <color rgb="FF0000FF"/>
        <rFont val="Calibri"/>
        <family val="2"/>
      </rPr>
      <t>XXXX-YY</t>
    </r>
  </si>
  <si>
    <r>
      <t xml:space="preserve">الوحدات = </t>
    </r>
    <r>
      <rPr>
        <sz val="10"/>
        <color rgb="FF0000FF"/>
        <rFont val="Calibri"/>
        <family val="2"/>
      </rPr>
      <t>$$$</t>
    </r>
    <r>
      <rPr>
        <sz val="10"/>
        <color theme="1"/>
        <rFont val="Calibri"/>
        <family val="2"/>
        <scheme val="minor"/>
      </rPr>
      <t xml:space="preserve"> مليون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</si>
</sst>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Red]\(0.00\)"/>
    <numFmt numFmtId="165" formatCode="0.0000"/>
    <numFmt numFmtId="166" formatCode="#,##0.000_);[Red]\(#,##0.000\)"/>
    <numFmt numFmtId="167" formatCode="0_);[Red]\(0\)"/>
    <numFmt numFmtId="168" formatCode="#,##0.000"/>
  </numFmts>
  <fonts count="24" x14ac:knownFonts="1">
    <font>
      <sz val="11"/>
      <color theme="1"/>
      <name val="Calibri"/>
      <family val="2"/>
      <scheme val="minor"/>
    </font>
    <font>
      <sz val="8"/>
      <color theme="1"/>
      <name val="Calibri"/>
      <family val="2"/>
      <scheme val="minor"/>
    </font>
    <font>
      <sz val="8"/>
      <name val="Calibri"/>
      <family val="2"/>
      <scheme val="minor"/>
    </font>
    <font>
      <sz val="11"/>
      <color theme="1"/>
      <name val="Calibri"/>
      <family val="2"/>
      <scheme val="minor"/>
    </font>
    <font>
      <sz val="10"/>
      <color theme="1"/>
      <name val="Calibri"/>
      <family val="2"/>
      <scheme val="minor"/>
    </font>
    <font>
      <b/>
      <sz val="10"/>
      <color theme="1"/>
      <name val="Times New Roman"/>
      <family val="1"/>
    </font>
    <font>
      <sz val="10"/>
      <color rgb="FF0000FF"/>
      <name val="Calibri"/>
      <family val="2"/>
      <scheme val="minor"/>
    </font>
    <font>
      <b/>
      <sz val="10"/>
      <color theme="1"/>
      <name val="Calibri"/>
      <family val="2"/>
      <scheme val="minor"/>
    </font>
    <font>
      <i/>
      <sz val="10"/>
      <color theme="0" tint="-0.499984740745262"/>
      <name val="Calibri"/>
      <family val="2"/>
      <scheme val="minor"/>
    </font>
    <font>
      <i/>
      <sz val="10"/>
      <color theme="1"/>
      <name val="Calibri"/>
      <family val="2"/>
      <scheme val="minor"/>
    </font>
    <font>
      <u/>
      <sz val="10"/>
      <color theme="0" tint="-0.499984740745262"/>
      <name val="Calibri"/>
      <family val="2"/>
      <scheme val="minor"/>
    </font>
    <font>
      <sz val="10"/>
      <color theme="0" tint="-0.499984740745262"/>
      <name val="Calibri"/>
      <family val="2"/>
      <scheme val="minor"/>
    </font>
    <font>
      <sz val="10"/>
      <name val="Calibri"/>
      <family val="2"/>
      <scheme val="minor"/>
    </font>
    <font>
      <i/>
      <sz val="10"/>
      <color rgb="FF0000FF"/>
      <name val="Calibri"/>
      <family val="2"/>
      <scheme val="minor"/>
    </font>
    <font>
      <b/>
      <sz val="10"/>
      <name val="Calibri"/>
      <family val="2"/>
      <scheme val="minor"/>
    </font>
    <font>
      <sz val="10"/>
      <color rgb="FF3333FF"/>
      <name val="Calibri"/>
      <family val="2"/>
      <scheme val="minor"/>
    </font>
    <font>
      <u/>
      <sz val="10"/>
      <color theme="1"/>
      <name val="Calibri"/>
      <family val="2"/>
      <scheme val="minor"/>
    </font>
    <font>
      <u/>
      <sz val="10"/>
      <color theme="1"/>
      <name val="Calibri"/>
      <family val="2"/>
    </font>
    <font>
      <sz val="10"/>
      <color rgb="FFFF0000"/>
      <name val="Calibri"/>
      <family val="2"/>
      <scheme val="minor"/>
    </font>
    <font>
      <sz val="10"/>
      <color rgb="FF0000FF"/>
      <name val="Calibri"/>
      <family val="2"/>
    </font>
    <font>
      <i/>
      <u/>
      <sz val="10"/>
      <color theme="0" tint="-0.499984740745262"/>
      <name val="Calibri"/>
      <family val="2"/>
      <scheme val="minor"/>
    </font>
    <font>
      <i/>
      <sz val="10"/>
      <name val="Calibri"/>
      <family val="2"/>
      <scheme val="minor"/>
    </font>
    <font>
      <b/>
      <i/>
      <u/>
      <sz val="10"/>
      <color theme="0" tint="-0.499984740745262"/>
      <name val="Calibri"/>
      <family val="2"/>
    </font>
    <font>
      <u/>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53">
    <xf numFmtId="0" fontId="0" fillId="0" borderId="0" xfId="0"/>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5" fillId="4" borderId="0" xfId="0" applyFont="1" applyFill="1" applyAlignment="1">
      <alignment horizontal="right" vertical="top" wrapText="1" readingOrder="2"/>
    </xf>
    <xf numFmtId="0" fontId="4" fillId="0" borderId="1" xfId="0" applyFont="1" applyBorder="1" applyAlignment="1">
      <alignment horizontal="right" vertical="center" wrapText="1" readingOrder="2"/>
    </xf>
    <xf numFmtId="0" fontId="4" fillId="0" borderId="2" xfId="0" applyFont="1" applyBorder="1" applyAlignment="1">
      <alignment vertical="center" wrapText="1"/>
    </xf>
    <xf numFmtId="0" fontId="0" fillId="0" borderId="0" xfId="0" applyAlignment="1">
      <alignment wrapText="1"/>
    </xf>
    <xf numFmtId="0" fontId="1" fillId="0" borderId="1" xfId="0" applyFont="1" applyBorder="1"/>
    <xf numFmtId="0" fontId="0" fillId="0" borderId="0" xfId="0" applyAlignment="1">
      <alignment horizontal="right" wrapText="1" readingOrder="2"/>
    </xf>
    <xf numFmtId="0" fontId="4" fillId="0" borderId="1" xfId="0" applyFont="1" applyBorder="1" applyAlignment="1">
      <alignment horizontal="right" vertical="center" wrapText="1"/>
    </xf>
    <xf numFmtId="0" fontId="4" fillId="0" borderId="1" xfId="0" applyFont="1" applyBorder="1" applyAlignment="1">
      <alignment horizontal="right" wrapText="1" readingOrder="2"/>
    </xf>
    <xf numFmtId="0" fontId="6" fillId="0" borderId="1" xfId="0" applyFont="1" applyBorder="1"/>
    <xf numFmtId="0" fontId="4" fillId="0" borderId="1" xfId="0" applyFont="1" applyBorder="1"/>
    <xf numFmtId="0" fontId="7" fillId="0" borderId="1" xfId="0" applyFont="1" applyBorder="1" applyAlignment="1">
      <alignment horizontal="center"/>
    </xf>
    <xf numFmtId="0" fontId="4" fillId="0" borderId="1" xfId="0" applyFont="1" applyBorder="1" applyAlignment="1">
      <alignment readingOrder="2"/>
    </xf>
    <xf numFmtId="0" fontId="7" fillId="0" borderId="1" xfId="0" applyFont="1" applyBorder="1" applyAlignment="1">
      <alignment horizontal="center" readingOrder="2"/>
    </xf>
    <xf numFmtId="0" fontId="4" fillId="0" borderId="1" xfId="0" applyFont="1" applyBorder="1" applyAlignment="1">
      <alignment horizontal="center" readingOrder="2"/>
    </xf>
    <xf numFmtId="0" fontId="4" fillId="0" borderId="1" xfId="0" applyFont="1" applyBorder="1" applyAlignment="1">
      <alignment horizontal="center"/>
    </xf>
    <xf numFmtId="0" fontId="8" fillId="0" borderId="1" xfId="0" applyFont="1" applyBorder="1" applyAlignment="1">
      <alignment horizontal="left"/>
    </xf>
    <xf numFmtId="0" fontId="9" fillId="0" borderId="1" xfId="0" applyFont="1" applyBorder="1" applyAlignment="1">
      <alignment horizontal="left"/>
    </xf>
    <xf numFmtId="0" fontId="10" fillId="0" borderId="1" xfId="0" applyFont="1" applyBorder="1" applyAlignment="1">
      <alignment horizontal="right" wrapText="1" readingOrder="2"/>
    </xf>
    <xf numFmtId="0" fontId="7" fillId="0" borderId="1" xfId="0" applyFont="1" applyBorder="1" applyAlignment="1">
      <alignment horizontal="right" wrapText="1" readingOrder="2"/>
    </xf>
    <xf numFmtId="0" fontId="7" fillId="0" borderId="1" xfId="0" applyFont="1" applyBorder="1"/>
    <xf numFmtId="0" fontId="7" fillId="0" borderId="1" xfId="0" applyFont="1" applyBorder="1" applyAlignment="1">
      <alignment readingOrder="2"/>
    </xf>
    <xf numFmtId="38" fontId="7" fillId="0" borderId="1" xfId="0" applyNumberFormat="1" applyFont="1" applyBorder="1" applyAlignment="1">
      <alignment horizontal="center"/>
    </xf>
    <xf numFmtId="0" fontId="11" fillId="0" borderId="1" xfId="0" applyFont="1" applyBorder="1"/>
    <xf numFmtId="0" fontId="8" fillId="0" borderId="1" xfId="0" applyFont="1" applyBorder="1" applyAlignment="1">
      <alignment horizontal="right" wrapText="1" readingOrder="2"/>
    </xf>
    <xf numFmtId="38" fontId="6" fillId="0" borderId="1" xfId="0" applyNumberFormat="1" applyFont="1" applyBorder="1" applyAlignment="1">
      <alignment horizontal="center"/>
    </xf>
    <xf numFmtId="38" fontId="12" fillId="0" borderId="1" xfId="0" applyNumberFormat="1" applyFont="1" applyBorder="1" applyAlignment="1">
      <alignment horizontal="center"/>
    </xf>
    <xf numFmtId="0" fontId="9" fillId="0" borderId="1" xfId="0" applyFont="1" applyBorder="1" applyAlignment="1">
      <alignment horizontal="right" wrapText="1" readingOrder="2"/>
    </xf>
    <xf numFmtId="38" fontId="13" fillId="0" borderId="1" xfId="0" applyNumberFormat="1" applyFont="1" applyBorder="1" applyAlignment="1">
      <alignment horizontal="center"/>
    </xf>
    <xf numFmtId="38" fontId="4" fillId="0" borderId="1" xfId="0" applyNumberFormat="1" applyFont="1" applyBorder="1" applyAlignment="1">
      <alignment horizontal="center"/>
    </xf>
    <xf numFmtId="0" fontId="9" fillId="0" borderId="1" xfId="0" applyFont="1" applyBorder="1" applyAlignment="1">
      <alignment horizontal="left" indent="2"/>
    </xf>
    <xf numFmtId="0" fontId="9" fillId="0" borderId="1" xfId="0" applyFont="1" applyBorder="1" applyAlignment="1">
      <alignment horizontal="left" readingOrder="2"/>
    </xf>
    <xf numFmtId="0" fontId="12" fillId="0" borderId="1" xfId="0" applyFont="1" applyBorder="1" applyAlignment="1">
      <alignment horizontal="right" wrapText="1" readingOrder="2"/>
    </xf>
    <xf numFmtId="10" fontId="6" fillId="0" borderId="1" xfId="0" applyNumberFormat="1"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right" wrapText="1" readingOrder="2"/>
    </xf>
    <xf numFmtId="0" fontId="14" fillId="0" borderId="1" xfId="0" applyFont="1" applyBorder="1" applyAlignment="1">
      <alignment horizontal="left"/>
    </xf>
    <xf numFmtId="0" fontId="14" fillId="0" borderId="1" xfId="0" applyFont="1" applyBorder="1" applyAlignment="1">
      <alignment horizontal="left" readingOrder="2"/>
    </xf>
    <xf numFmtId="1" fontId="14" fillId="0" borderId="1" xfId="0" applyNumberFormat="1"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left" readingOrder="2"/>
    </xf>
    <xf numFmtId="1" fontId="12" fillId="0" borderId="1" xfId="0" applyNumberFormat="1" applyFont="1" applyBorder="1" applyAlignment="1">
      <alignment horizontal="center"/>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readingOrder="2"/>
    </xf>
    <xf numFmtId="0" fontId="11" fillId="0" borderId="1" xfId="0" applyFont="1" applyBorder="1" applyAlignment="1">
      <alignment horizontal="right" wrapText="1" readingOrder="2"/>
    </xf>
    <xf numFmtId="38" fontId="15" fillId="0" borderId="1" xfId="0" applyNumberFormat="1" applyFont="1" applyBorder="1" applyAlignment="1">
      <alignment horizontal="center"/>
    </xf>
    <xf numFmtId="0" fontId="14" fillId="0" borderId="1" xfId="0" applyFont="1" applyBorder="1"/>
    <xf numFmtId="0" fontId="14" fillId="0" borderId="1" xfId="0" applyFont="1" applyBorder="1" applyAlignment="1">
      <alignment readingOrder="2"/>
    </xf>
    <xf numFmtId="38" fontId="14" fillId="0" borderId="1" xfId="0" applyNumberFormat="1" applyFont="1" applyBorder="1" applyAlignment="1">
      <alignment horizontal="center"/>
    </xf>
    <xf numFmtId="0" fontId="16" fillId="2" borderId="1" xfId="0" applyFont="1" applyFill="1" applyBorder="1" applyAlignment="1">
      <alignment horizontal="right" wrapText="1" readingOrder="2"/>
    </xf>
    <xf numFmtId="0" fontId="4" fillId="2" borderId="1" xfId="0" applyFont="1" applyFill="1" applyBorder="1"/>
    <xf numFmtId="0" fontId="4" fillId="2" borderId="1" xfId="0" applyFont="1" applyFill="1" applyBorder="1" applyAlignment="1">
      <alignment horizontal="right" wrapText="1" readingOrder="2"/>
    </xf>
    <xf numFmtId="0" fontId="4" fillId="2" borderId="1" xfId="0" applyFont="1" applyFill="1" applyBorder="1" applyAlignment="1">
      <alignment horizontal="right" readingOrder="2"/>
    </xf>
    <xf numFmtId="0" fontId="17" fillId="2" borderId="1" xfId="0" applyFont="1" applyFill="1" applyBorder="1" applyAlignment="1">
      <alignment horizontal="right" readingOrder="2"/>
    </xf>
    <xf numFmtId="0" fontId="4" fillId="0" borderId="1" xfId="0" applyFont="1" applyBorder="1" applyAlignment="1">
      <alignment horizontal="right" readingOrder="2"/>
    </xf>
    <xf numFmtId="0" fontId="4" fillId="0" borderId="1" xfId="0" applyFont="1" applyBorder="1" applyAlignment="1">
      <alignment horizontal="right"/>
    </xf>
    <xf numFmtId="0" fontId="20" fillId="0" borderId="1" xfId="0" applyFont="1" applyBorder="1" applyAlignment="1">
      <alignment horizontal="right" wrapText="1" readingOrder="2"/>
    </xf>
    <xf numFmtId="0" fontId="8" fillId="0" borderId="1" xfId="0" applyFont="1" applyBorder="1" applyAlignment="1">
      <alignment horizontal="right" vertical="center" wrapText="1" readingOrder="2"/>
    </xf>
    <xf numFmtId="0" fontId="16" fillId="0" borderId="1" xfId="0" applyFont="1" applyBorder="1" applyAlignment="1">
      <alignment horizontal="right" wrapText="1" readingOrder="2"/>
    </xf>
    <xf numFmtId="0" fontId="7" fillId="0" borderId="1" xfId="0" applyFont="1" applyBorder="1" applyAlignment="1">
      <alignment horizontal="right"/>
    </xf>
    <xf numFmtId="0" fontId="4" fillId="0" borderId="1" xfId="0" applyFont="1" applyBorder="1" applyAlignment="1">
      <alignment horizontal="right" wrapText="1"/>
    </xf>
    <xf numFmtId="0" fontId="8" fillId="0" borderId="1" xfId="0" applyFont="1" applyBorder="1" applyAlignment="1">
      <alignment horizontal="right" vertical="center" readingOrder="2"/>
    </xf>
    <xf numFmtId="0" fontId="4" fillId="0" borderId="1" xfId="0" applyFont="1" applyBorder="1" applyAlignment="1">
      <alignment horizontal="right" indent="2" readingOrder="2"/>
    </xf>
    <xf numFmtId="0" fontId="4" fillId="0" borderId="1" xfId="0" applyFont="1" applyBorder="1" applyAlignment="1">
      <alignment horizontal="right" indent="2"/>
    </xf>
    <xf numFmtId="0" fontId="6" fillId="0" borderId="1" xfId="0" applyFont="1" applyBorder="1" applyAlignment="1">
      <alignment horizontal="right" readingOrder="2"/>
    </xf>
    <xf numFmtId="0" fontId="6" fillId="0" borderId="1" xfId="0" applyFont="1" applyBorder="1" applyAlignment="1">
      <alignment horizontal="right" wrapText="1" readingOrder="2"/>
    </xf>
    <xf numFmtId="0" fontId="7" fillId="0" borderId="1" xfId="0" applyFont="1" applyBorder="1" applyAlignment="1">
      <alignment horizontal="right" readingOrder="2"/>
    </xf>
    <xf numFmtId="0" fontId="16" fillId="2" borderId="1" xfId="0" applyFont="1" applyFill="1" applyBorder="1" applyAlignment="1">
      <alignment horizontal="right" readingOrder="2"/>
    </xf>
    <xf numFmtId="0" fontId="16" fillId="2" borderId="1" xfId="0" applyFont="1" applyFill="1" applyBorder="1" applyAlignment="1">
      <alignment horizontal="right" vertical="top" readingOrder="2"/>
    </xf>
    <xf numFmtId="0" fontId="16" fillId="2" borderId="1" xfId="0" applyFont="1" applyFill="1" applyBorder="1" applyAlignment="1">
      <alignment horizontal="right" vertical="top" wrapText="1" readingOrder="2"/>
    </xf>
    <xf numFmtId="0" fontId="4" fillId="2" borderId="1" xfId="0" applyFont="1" applyFill="1" applyBorder="1" applyAlignment="1">
      <alignment horizontal="right" vertical="top" readingOrder="2"/>
    </xf>
    <xf numFmtId="9" fontId="6" fillId="0" borderId="1" xfId="0" applyNumberFormat="1" applyFont="1" applyBorder="1" applyAlignment="1">
      <alignment horizontal="right" readingOrder="2"/>
    </xf>
    <xf numFmtId="164" fontId="6" fillId="0" borderId="1" xfId="0" applyNumberFormat="1" applyFont="1" applyBorder="1" applyAlignment="1">
      <alignment horizontal="right" readingOrder="2"/>
    </xf>
    <xf numFmtId="3" fontId="6" fillId="0" borderId="1" xfId="0" applyNumberFormat="1" applyFont="1" applyBorder="1" applyAlignment="1">
      <alignment horizontal="right" readingOrder="2"/>
    </xf>
    <xf numFmtId="40" fontId="6" fillId="0" borderId="1" xfId="0" applyNumberFormat="1" applyFont="1" applyBorder="1" applyAlignment="1">
      <alignment horizontal="right" readingOrder="2"/>
    </xf>
    <xf numFmtId="40" fontId="4" fillId="0" borderId="1" xfId="0" applyNumberFormat="1" applyFont="1" applyBorder="1" applyAlignment="1">
      <alignment horizontal="right" readingOrder="2"/>
    </xf>
    <xf numFmtId="10" fontId="4" fillId="0" borderId="1" xfId="0" applyNumberFormat="1" applyFont="1" applyBorder="1" applyAlignment="1">
      <alignment horizontal="right" readingOrder="2"/>
    </xf>
    <xf numFmtId="38" fontId="6" fillId="0" borderId="1" xfId="0" applyNumberFormat="1" applyFont="1" applyBorder="1" applyAlignment="1">
      <alignment horizontal="right" readingOrder="2"/>
    </xf>
    <xf numFmtId="38" fontId="4" fillId="0" borderId="1" xfId="0" applyNumberFormat="1" applyFont="1" applyBorder="1" applyAlignment="1">
      <alignment horizontal="right" readingOrder="2"/>
    </xf>
    <xf numFmtId="0" fontId="4" fillId="3" borderId="1" xfId="0" applyFont="1" applyFill="1" applyBorder="1" applyAlignment="1">
      <alignment horizontal="right" readingOrder="2"/>
    </xf>
    <xf numFmtId="40" fontId="4" fillId="3" borderId="1" xfId="0" applyNumberFormat="1" applyFont="1" applyFill="1" applyBorder="1" applyAlignment="1">
      <alignment horizontal="right" readingOrder="2"/>
    </xf>
    <xf numFmtId="3" fontId="4" fillId="0" borderId="1" xfId="0" applyNumberFormat="1" applyFont="1" applyBorder="1" applyAlignment="1">
      <alignment horizontal="right" readingOrder="2"/>
    </xf>
    <xf numFmtId="9" fontId="4" fillId="0" borderId="1" xfId="0" applyNumberFormat="1" applyFont="1" applyBorder="1" applyAlignment="1">
      <alignment horizontal="right" readingOrder="2"/>
    </xf>
    <xf numFmtId="40" fontId="6" fillId="0" borderId="1" xfId="0" applyNumberFormat="1" applyFont="1" applyBorder="1" applyAlignment="1">
      <alignment horizontal="right"/>
    </xf>
    <xf numFmtId="0" fontId="4" fillId="2" borderId="1" xfId="0" applyFont="1" applyFill="1" applyBorder="1" applyAlignment="1">
      <alignment horizontal="right" wrapText="1"/>
    </xf>
    <xf numFmtId="0" fontId="4" fillId="2" borderId="1" xfId="0" applyFont="1" applyFill="1" applyBorder="1" applyAlignment="1">
      <alignment horizontal="right"/>
    </xf>
    <xf numFmtId="40" fontId="4" fillId="0" borderId="1" xfId="0" applyNumberFormat="1" applyFont="1" applyBorder="1" applyAlignment="1">
      <alignment horizontal="right"/>
    </xf>
    <xf numFmtId="0" fontId="9" fillId="2" borderId="1" xfId="0" applyFont="1" applyFill="1" applyBorder="1" applyAlignment="1">
      <alignment horizontal="right" wrapText="1" readingOrder="2"/>
    </xf>
    <xf numFmtId="0" fontId="9" fillId="2" borderId="1" xfId="0" applyFont="1" applyFill="1" applyBorder="1" applyAlignment="1">
      <alignment horizontal="right"/>
    </xf>
    <xf numFmtId="0" fontId="9" fillId="2" borderId="1" xfId="0" applyFont="1" applyFill="1" applyBorder="1" applyAlignment="1">
      <alignment horizontal="right" wrapText="1"/>
    </xf>
    <xf numFmtId="10" fontId="6" fillId="0" borderId="1" xfId="0" applyNumberFormat="1" applyFont="1" applyBorder="1" applyAlignment="1">
      <alignment horizontal="right"/>
    </xf>
    <xf numFmtId="0" fontId="8" fillId="0" borderId="1" xfId="0" applyFont="1" applyBorder="1" applyAlignment="1">
      <alignment horizontal="right" wrapText="1"/>
    </xf>
    <xf numFmtId="10" fontId="12" fillId="0" borderId="1" xfId="0" applyNumberFormat="1" applyFont="1" applyBorder="1" applyAlignment="1">
      <alignment horizontal="right"/>
    </xf>
    <xf numFmtId="0" fontId="8" fillId="0" borderId="1" xfId="0" applyFont="1" applyBorder="1" applyAlignment="1">
      <alignment horizontal="right"/>
    </xf>
    <xf numFmtId="0" fontId="16" fillId="0" borderId="1" xfId="0" applyFont="1" applyBorder="1" applyAlignment="1">
      <alignment horizontal="right"/>
    </xf>
    <xf numFmtId="0" fontId="12" fillId="0" borderId="1" xfId="0" applyFont="1" applyBorder="1" applyAlignment="1">
      <alignment horizontal="right"/>
    </xf>
    <xf numFmtId="0" fontId="4" fillId="0" borderId="1" xfId="0" applyFont="1" applyBorder="1" applyAlignment="1">
      <alignment horizontal="right" vertical="top"/>
    </xf>
    <xf numFmtId="0" fontId="8" fillId="0" borderId="1" xfId="0" applyFont="1" applyBorder="1" applyAlignment="1">
      <alignment horizontal="right" vertical="center" wrapText="1"/>
    </xf>
    <xf numFmtId="0" fontId="21" fillId="0" borderId="1" xfId="0" applyFont="1" applyBorder="1" applyAlignment="1">
      <alignment horizontal="right" vertical="center" wrapText="1"/>
    </xf>
    <xf numFmtId="9" fontId="6" fillId="0" borderId="1" xfId="0" applyNumberFormat="1" applyFont="1" applyBorder="1" applyAlignment="1">
      <alignment horizontal="right"/>
    </xf>
    <xf numFmtId="38" fontId="4" fillId="0" borderId="1" xfId="0" applyNumberFormat="1" applyFont="1" applyBorder="1" applyAlignment="1">
      <alignment horizontal="right"/>
    </xf>
    <xf numFmtId="9" fontId="12" fillId="0" borderId="1" xfId="0" applyNumberFormat="1" applyFont="1" applyBorder="1" applyAlignment="1">
      <alignment horizontal="right"/>
    </xf>
    <xf numFmtId="38" fontId="6" fillId="0" borderId="1" xfId="0" applyNumberFormat="1" applyFont="1" applyBorder="1" applyAlignment="1">
      <alignment horizontal="right"/>
    </xf>
    <xf numFmtId="38" fontId="12" fillId="0" borderId="1" xfId="0" applyNumberFormat="1" applyFont="1" applyBorder="1" applyAlignment="1">
      <alignment horizontal="right"/>
    </xf>
    <xf numFmtId="10" fontId="4" fillId="0" borderId="1" xfId="0" applyNumberFormat="1" applyFont="1" applyBorder="1" applyAlignment="1">
      <alignment horizontal="right"/>
    </xf>
    <xf numFmtId="0" fontId="12" fillId="0" borderId="1" xfId="0" applyFont="1" applyBorder="1" applyAlignment="1">
      <alignment horizontal="right" vertical="center" indent="2"/>
    </xf>
    <xf numFmtId="38" fontId="4" fillId="2" borderId="1" xfId="0" applyNumberFormat="1" applyFont="1" applyFill="1" applyBorder="1" applyAlignment="1">
      <alignment horizontal="right"/>
    </xf>
    <xf numFmtId="0" fontId="9" fillId="0" borderId="1" xfId="0" applyFont="1" applyBorder="1" applyAlignment="1">
      <alignment horizontal="right" indent="2"/>
    </xf>
    <xf numFmtId="0" fontId="9" fillId="0" borderId="1" xfId="0" applyFont="1" applyBorder="1" applyAlignment="1">
      <alignment horizontal="right" indent="1"/>
    </xf>
    <xf numFmtId="0" fontId="9" fillId="0" borderId="1" xfId="0" applyFont="1" applyBorder="1" applyAlignment="1">
      <alignment horizontal="right"/>
    </xf>
    <xf numFmtId="0" fontId="4" fillId="0" borderId="1" xfId="0" applyFont="1" applyBorder="1" applyAlignment="1">
      <alignment horizontal="right" indent="1"/>
    </xf>
    <xf numFmtId="38" fontId="7" fillId="0" borderId="1" xfId="0" applyNumberFormat="1" applyFont="1" applyBorder="1" applyAlignment="1">
      <alignment horizontal="right"/>
    </xf>
    <xf numFmtId="0" fontId="22" fillId="0" borderId="1" xfId="0" applyFont="1" applyBorder="1" applyAlignment="1">
      <alignment horizontal="right" vertical="center" wrapText="1"/>
    </xf>
    <xf numFmtId="0" fontId="14" fillId="0" borderId="1" xfId="0" applyFont="1" applyBorder="1" applyAlignment="1">
      <alignment horizontal="right" vertical="center" wrapText="1"/>
    </xf>
    <xf numFmtId="0" fontId="4" fillId="0" borderId="1" xfId="0" applyFont="1" applyBorder="1" applyAlignment="1">
      <alignment horizontal="right" vertical="top" wrapText="1"/>
    </xf>
    <xf numFmtId="0" fontId="23" fillId="0" borderId="1" xfId="0" applyFont="1" applyBorder="1" applyAlignment="1">
      <alignment horizontal="right"/>
    </xf>
    <xf numFmtId="9" fontId="4" fillId="0" borderId="1" xfId="1" applyFont="1" applyBorder="1" applyAlignment="1">
      <alignment horizontal="right"/>
    </xf>
    <xf numFmtId="167" fontId="12" fillId="0" borderId="1" xfId="0" applyNumberFormat="1" applyFont="1" applyBorder="1" applyAlignment="1">
      <alignment horizontal="right" vertical="center" wrapText="1"/>
    </xf>
    <xf numFmtId="167" fontId="4" fillId="0" borderId="1" xfId="0" applyNumberFormat="1" applyFont="1" applyBorder="1" applyAlignment="1">
      <alignment horizontal="right"/>
    </xf>
    <xf numFmtId="9" fontId="7" fillId="0" borderId="1" xfId="1" applyFont="1" applyBorder="1" applyAlignment="1">
      <alignment horizontal="right"/>
    </xf>
    <xf numFmtId="167" fontId="14" fillId="0" borderId="1" xfId="0" applyNumberFormat="1" applyFont="1" applyBorder="1" applyAlignment="1">
      <alignment horizontal="right" vertical="center" wrapText="1"/>
    </xf>
    <xf numFmtId="38" fontId="4" fillId="0" borderId="1" xfId="0" applyNumberFormat="1" applyFont="1" applyBorder="1" applyAlignment="1">
      <alignment horizontal="right" vertical="center"/>
    </xf>
    <xf numFmtId="38" fontId="8" fillId="0" borderId="1" xfId="0" applyNumberFormat="1" applyFont="1" applyBorder="1" applyAlignment="1">
      <alignment horizontal="right" vertical="center" wrapText="1"/>
    </xf>
    <xf numFmtId="166" fontId="4" fillId="0" borderId="1" xfId="0" applyNumberFormat="1" applyFont="1" applyBorder="1" applyAlignment="1">
      <alignment horizontal="right" vertical="center"/>
    </xf>
    <xf numFmtId="40" fontId="4" fillId="0" borderId="1" xfId="0" applyNumberFormat="1" applyFont="1" applyBorder="1" applyAlignment="1">
      <alignment horizontal="right" vertical="center"/>
    </xf>
    <xf numFmtId="0" fontId="8" fillId="0" borderId="1" xfId="0" applyFont="1" applyBorder="1" applyAlignment="1">
      <alignment horizontal="right" vertical="top" wrapText="1"/>
    </xf>
    <xf numFmtId="38" fontId="8" fillId="0" borderId="1" xfId="0" applyNumberFormat="1" applyFont="1" applyBorder="1" applyAlignment="1">
      <alignment horizontal="right" vertical="top" wrapText="1"/>
    </xf>
    <xf numFmtId="0" fontId="4" fillId="0" borderId="1" xfId="0" applyFont="1" applyBorder="1" applyAlignment="1">
      <alignment horizontal="right" vertical="center"/>
    </xf>
    <xf numFmtId="40" fontId="12" fillId="0" borderId="1" xfId="0" applyNumberFormat="1" applyFont="1" applyBorder="1" applyAlignment="1">
      <alignment horizontal="right"/>
    </xf>
    <xf numFmtId="9" fontId="4" fillId="0" borderId="1" xfId="0" applyNumberFormat="1" applyFont="1" applyBorder="1" applyAlignment="1">
      <alignment horizontal="right"/>
    </xf>
    <xf numFmtId="168" fontId="4" fillId="0" borderId="1" xfId="0" applyNumberFormat="1" applyFont="1" applyBorder="1" applyAlignment="1">
      <alignment horizontal="right"/>
    </xf>
    <xf numFmtId="4" fontId="4" fillId="0" borderId="1" xfId="0" applyNumberFormat="1" applyFont="1" applyBorder="1" applyAlignment="1">
      <alignment horizontal="right"/>
    </xf>
    <xf numFmtId="0" fontId="4" fillId="3" borderId="1" xfId="0" applyFont="1" applyFill="1" applyBorder="1" applyAlignment="1">
      <alignment horizontal="right"/>
    </xf>
    <xf numFmtId="0" fontId="14" fillId="0" borderId="1" xfId="0" applyFont="1" applyBorder="1" applyAlignment="1">
      <alignment horizontal="left" wrapText="1"/>
    </xf>
    <xf numFmtId="0" fontId="4" fillId="0" borderId="1" xfId="0" applyFont="1" applyBorder="1" applyAlignment="1">
      <alignment horizontal="center"/>
    </xf>
    <xf numFmtId="0" fontId="8" fillId="0" borderId="1" xfId="0" applyFont="1" applyBorder="1" applyAlignment="1">
      <alignment horizontal="right" vertical="center" wrapText="1" readingOrder="2"/>
    </xf>
    <xf numFmtId="0" fontId="7" fillId="0" borderId="1" xfId="0" applyFont="1" applyBorder="1" applyAlignment="1">
      <alignment horizontal="right" readingOrder="2"/>
    </xf>
    <xf numFmtId="0" fontId="7" fillId="0" borderId="1" xfId="0" applyFont="1" applyBorder="1" applyAlignment="1">
      <alignment horizontal="right"/>
    </xf>
    <xf numFmtId="40" fontId="6" fillId="0" borderId="1" xfId="0" applyNumberFormat="1" applyFont="1" applyBorder="1" applyAlignment="1">
      <alignment horizontal="right"/>
    </xf>
    <xf numFmtId="165" fontId="18" fillId="0" borderId="1" xfId="0" applyNumberFormat="1" applyFont="1" applyBorder="1" applyAlignment="1">
      <alignment horizontal="right"/>
    </xf>
    <xf numFmtId="0" fontId="18" fillId="0" borderId="1" xfId="0" applyFont="1" applyBorder="1" applyAlignment="1">
      <alignment horizontal="right"/>
    </xf>
    <xf numFmtId="0" fontId="8" fillId="0" borderId="1" xfId="0" applyFont="1" applyBorder="1" applyAlignment="1">
      <alignment horizontal="right"/>
    </xf>
    <xf numFmtId="0" fontId="4" fillId="0" borderId="1" xfId="0" applyFont="1" applyBorder="1" applyAlignment="1">
      <alignment horizontal="right" vertical="center" wrapText="1"/>
    </xf>
    <xf numFmtId="0" fontId="7" fillId="0" borderId="1" xfId="0" applyFont="1" applyBorder="1" applyAlignment="1">
      <alignment horizontal="right" vertical="top"/>
    </xf>
    <xf numFmtId="0" fontId="7" fillId="0" borderId="1" xfId="0" applyFont="1" applyBorder="1" applyAlignment="1">
      <alignment horizontal="right" vertical="top" wrapText="1"/>
    </xf>
    <xf numFmtId="0" fontId="8" fillId="0" borderId="1" xfId="0" applyFont="1" applyBorder="1" applyAlignment="1">
      <alignment horizontal="right" vertical="center" wrapText="1"/>
    </xf>
    <xf numFmtId="0" fontId="4" fillId="0" borderId="1" xfId="0" applyFont="1" applyBorder="1" applyAlignment="1">
      <alignment horizontal="right"/>
    </xf>
  </cellXfs>
  <cellStyles count="2">
    <cellStyle name="Normal" xfId="0" builtinId="0"/>
    <cellStyle name="Percent" xfId="1" builtinId="5"/>
  </cellStyles>
  <dxfs count="5">
    <dxf>
      <font>
        <b/>
        <i/>
        <color rgb="FFFF0000"/>
      </font>
    </dxf>
    <dxf>
      <font>
        <b/>
        <i val="0"/>
        <color theme="0"/>
      </font>
      <fill>
        <patternFill>
          <bgColor rgb="FF00B050"/>
        </patternFill>
      </fill>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Rohan Jadhav" id="{2FD05B65-8466-4889-8932-ECA6B8833675}" userId="S::RohanJa@ad.crisil.com::c1ef33cb-65ed-4fc7-aa22-9d5f22a31a1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4-07-14T14:36:34.11" personId="{2FD05B65-8466-4889-8932-ECA6B8833675}" id="{7167DF97-289C-4BDA-B06A-A8CE07D4E8DD}">
    <text>Derived as difference of Requirement and Consumption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9" dT="2024-07-15T09:29:21.40" personId="{2FD05B65-8466-4889-8932-ECA6B8833675}" id="{4555DAA6-A4E0-4A3D-BD9A-23F29896128B}">
    <text>Lines, Transformers, Substations, Systems &amp; Instrumentation, etc.</text>
  </threadedComment>
  <threadedComment ref="B20" dT="2024-07-15T09:28:36.52" personId="{2FD05B65-8466-4889-8932-ECA6B8833675}" id="{814D47C8-A3FD-48D4-BA60-943F875C431C}">
    <text xml:space="preserve">Customer service line, customer transformer, meters, etc. </text>
  </threadedComment>
  <threadedComment ref="B24" dT="2024-07-15T09:29:21.40" personId="{2FD05B65-8466-4889-8932-ECA6B8833675}" id="{A1819A11-1DA6-4476-BB57-5DD12363DE9A}">
    <text>Lines, Transformers, Substations, Systems &amp; Instrumentation, etc.</text>
  </threadedComment>
  <threadedComment ref="B25" dT="2024-07-15T09:28:36.52" personId="{2FD05B65-8466-4889-8932-ECA6B8833675}" id="{32290DFE-A17E-4BBD-93B2-78A04908F018}">
    <text xml:space="preserve">Customer service line, customer transformer, meters, etc. </text>
  </threadedComment>
  <threadedComment ref="B29" dT="2024-07-15T09:29:21.40" personId="{2FD05B65-8466-4889-8932-ECA6B8833675}" id="{262A91E0-8484-409F-A328-FA0078059EA3}">
    <text>Lines, Transformers, Substations, Systems &amp; Instrumentation, etc.</text>
  </threadedComment>
  <threadedComment ref="B30" dT="2024-07-15T09:28:36.52" personId="{2FD05B65-8466-4889-8932-ECA6B8833675}" id="{C47B3C03-8E4A-4461-B654-FE2138EAED9D}">
    <text xml:space="preserve">Customer service line, customer transformer, meters, etc. </text>
  </threadedComment>
  <threadedComment ref="B34" dT="2024-07-15T09:29:21.40" personId="{2FD05B65-8466-4889-8932-ECA6B8833675}" id="{4C85EC83-CE04-481C-82E8-74A7D83F8BD6}">
    <text>Lines, Transformers, Substations, Systems &amp; Instrumentation, etc.</text>
  </threadedComment>
  <threadedComment ref="B35" dT="2024-07-15T09:28:36.52" personId="{2FD05B65-8466-4889-8932-ECA6B8833675}" id="{FB86D427-B3D0-4040-8BD0-79DC3FF49046}">
    <text xml:space="preserve">Customer service line, customer transformer, meters, etc. </text>
  </threadedComment>
  <threadedComment ref="B39" dT="2024-07-15T09:29:21.40" personId="{2FD05B65-8466-4889-8932-ECA6B8833675}" id="{56E9936C-C410-4070-95C0-B320FAE30BB1}">
    <text>Lines, Transformers, Substations, Systems &amp; Instrumentation, etc.</text>
  </threadedComment>
  <threadedComment ref="B40" dT="2024-07-15T09:28:36.52" personId="{2FD05B65-8466-4889-8932-ECA6B8833675}" id="{783A29A9-883D-4C33-836F-47686BD5794D}">
    <text xml:space="preserve">Customer service line, customer transformer, meters, etc. </text>
  </threadedComment>
</ThreadedComment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930B-DDBC-4884-BB7C-C498E467B99D}">
  <dimension ref="A2:D37"/>
  <sheetViews>
    <sheetView rightToLeft="1" zoomScale="124" zoomScaleNormal="124" workbookViewId="0">
      <pane xSplit="1" ySplit="2" topLeftCell="B3" activePane="bottomRight" state="frozen"/>
      <selection pane="topRight" activeCell="B1" sqref="B1"/>
      <selection pane="bottomLeft" activeCell="A3" sqref="A3"/>
      <selection pane="bottomRight" activeCell="D1" sqref="D1:D1048576"/>
    </sheetView>
  </sheetViews>
  <sheetFormatPr defaultRowHeight="14.5" x14ac:dyDescent="0.35"/>
  <cols>
    <col min="1" max="1" width="27.7265625" style="9" customWidth="1"/>
    <col min="2" max="2" width="7.1796875" customWidth="1"/>
    <col min="3" max="3" width="25.81640625" style="11" customWidth="1"/>
    <col min="4" max="4" width="56.6328125" style="9" customWidth="1"/>
  </cols>
  <sheetData>
    <row r="2" spans="1:4" ht="26" x14ac:dyDescent="0.35">
      <c r="A2" s="5" t="s">
        <v>367</v>
      </c>
      <c r="B2" s="4" t="s">
        <v>59</v>
      </c>
      <c r="C2" s="6" t="s">
        <v>58</v>
      </c>
      <c r="D2" s="5" t="s">
        <v>25</v>
      </c>
    </row>
    <row r="3" spans="1:4" ht="26" x14ac:dyDescent="0.35">
      <c r="A3" s="1" t="s">
        <v>368</v>
      </c>
      <c r="B3" s="3">
        <v>1</v>
      </c>
      <c r="C3" s="7" t="s">
        <v>50</v>
      </c>
      <c r="D3" s="8" t="s">
        <v>354</v>
      </c>
    </row>
    <row r="4" spans="1:4" ht="39" x14ac:dyDescent="0.35">
      <c r="A4" s="1" t="s">
        <v>369</v>
      </c>
      <c r="B4" s="3">
        <f>B3+1</f>
        <v>2</v>
      </c>
      <c r="C4" s="7" t="s">
        <v>51</v>
      </c>
      <c r="D4" s="1" t="s">
        <v>27</v>
      </c>
    </row>
    <row r="5" spans="1:4" ht="26" x14ac:dyDescent="0.35">
      <c r="A5" s="1" t="s">
        <v>370</v>
      </c>
      <c r="B5" s="3">
        <f t="shared" ref="B5:B37" si="0">B4+1</f>
        <v>3</v>
      </c>
      <c r="C5" s="7" t="s">
        <v>52</v>
      </c>
      <c r="D5" s="1" t="s">
        <v>355</v>
      </c>
    </row>
    <row r="6" spans="1:4" ht="79" customHeight="1" x14ac:dyDescent="0.35">
      <c r="A6" s="1" t="s">
        <v>371</v>
      </c>
      <c r="B6" s="3">
        <f t="shared" si="0"/>
        <v>4</v>
      </c>
      <c r="C6" s="7" t="s">
        <v>53</v>
      </c>
      <c r="D6" s="1" t="s">
        <v>26</v>
      </c>
    </row>
    <row r="7" spans="1:4" ht="36" customHeight="1" x14ac:dyDescent="0.35">
      <c r="A7" s="1" t="s">
        <v>372</v>
      </c>
      <c r="B7" s="3">
        <f t="shared" si="0"/>
        <v>5</v>
      </c>
      <c r="C7" s="7" t="s">
        <v>54</v>
      </c>
      <c r="D7" s="1" t="s">
        <v>356</v>
      </c>
    </row>
    <row r="8" spans="1:4" ht="49" customHeight="1" x14ac:dyDescent="0.35">
      <c r="A8" s="1" t="s">
        <v>373</v>
      </c>
      <c r="B8" s="3">
        <f t="shared" si="0"/>
        <v>6</v>
      </c>
      <c r="C8" s="7" t="s">
        <v>55</v>
      </c>
      <c r="D8" s="1" t="s">
        <v>28</v>
      </c>
    </row>
    <row r="9" spans="1:4" ht="27" customHeight="1" x14ac:dyDescent="0.35">
      <c r="A9" s="1" t="s">
        <v>374</v>
      </c>
      <c r="B9" s="3">
        <f t="shared" si="0"/>
        <v>7</v>
      </c>
      <c r="C9" s="7" t="s">
        <v>56</v>
      </c>
      <c r="D9" s="1" t="s">
        <v>29</v>
      </c>
    </row>
    <row r="10" spans="1:4" ht="43" customHeight="1" x14ac:dyDescent="0.35">
      <c r="A10" s="1" t="s">
        <v>375</v>
      </c>
      <c r="B10" s="3">
        <f t="shared" si="0"/>
        <v>8</v>
      </c>
      <c r="C10" s="7" t="s">
        <v>57</v>
      </c>
      <c r="D10" s="1" t="s">
        <v>30</v>
      </c>
    </row>
    <row r="11" spans="1:4" ht="68.5" customHeight="1" x14ac:dyDescent="0.35">
      <c r="A11" s="2" t="s">
        <v>376</v>
      </c>
      <c r="B11" s="3">
        <f t="shared" si="0"/>
        <v>9</v>
      </c>
      <c r="C11" s="7" t="s">
        <v>467</v>
      </c>
      <c r="D11" s="7" t="s">
        <v>31</v>
      </c>
    </row>
    <row r="12" spans="1:4" ht="25" customHeight="1" x14ac:dyDescent="0.35">
      <c r="A12" s="1" t="s">
        <v>377</v>
      </c>
      <c r="B12" s="3">
        <f t="shared" si="0"/>
        <v>10</v>
      </c>
      <c r="C12" s="7" t="s">
        <v>60</v>
      </c>
      <c r="D12" s="1" t="s">
        <v>32</v>
      </c>
    </row>
    <row r="13" spans="1:4" ht="54" customHeight="1" x14ac:dyDescent="0.35">
      <c r="A13" s="2" t="s">
        <v>378</v>
      </c>
      <c r="B13" s="3">
        <f t="shared" si="0"/>
        <v>11</v>
      </c>
      <c r="C13" s="7" t="s">
        <v>61</v>
      </c>
      <c r="D13" s="12" t="s">
        <v>33</v>
      </c>
    </row>
    <row r="14" spans="1:4" ht="17.5" customHeight="1" x14ac:dyDescent="0.35">
      <c r="A14" s="1" t="s">
        <v>379</v>
      </c>
      <c r="B14" s="3">
        <f t="shared" si="0"/>
        <v>12</v>
      </c>
      <c r="C14" s="7" t="s">
        <v>62</v>
      </c>
      <c r="D14" s="12" t="s">
        <v>34</v>
      </c>
    </row>
    <row r="15" spans="1:4" ht="28.5" customHeight="1" x14ac:dyDescent="0.35">
      <c r="A15" s="2" t="s">
        <v>380</v>
      </c>
      <c r="B15" s="3">
        <f t="shared" si="0"/>
        <v>13</v>
      </c>
      <c r="C15" s="7" t="s">
        <v>63</v>
      </c>
      <c r="D15" s="12" t="s">
        <v>35</v>
      </c>
    </row>
    <row r="16" spans="1:4" ht="17.5" customHeight="1" x14ac:dyDescent="0.35">
      <c r="A16" s="1" t="s">
        <v>381</v>
      </c>
      <c r="B16" s="3">
        <f t="shared" si="0"/>
        <v>14</v>
      </c>
      <c r="C16" s="7" t="s">
        <v>64</v>
      </c>
      <c r="D16" s="12" t="s">
        <v>36</v>
      </c>
    </row>
    <row r="17" spans="1:4" ht="17.5" customHeight="1" x14ac:dyDescent="0.35">
      <c r="A17" s="1" t="s">
        <v>382</v>
      </c>
      <c r="B17" s="3">
        <f t="shared" si="0"/>
        <v>15</v>
      </c>
      <c r="C17" s="7" t="s">
        <v>65</v>
      </c>
      <c r="D17" s="12" t="s">
        <v>37</v>
      </c>
    </row>
    <row r="18" spans="1:4" ht="40" customHeight="1" x14ac:dyDescent="0.35">
      <c r="A18" s="2" t="s">
        <v>383</v>
      </c>
      <c r="B18" s="3">
        <f t="shared" si="0"/>
        <v>16</v>
      </c>
      <c r="C18" s="7" t="s">
        <v>66</v>
      </c>
      <c r="D18" s="12" t="s">
        <v>38</v>
      </c>
    </row>
    <row r="19" spans="1:4" ht="39" x14ac:dyDescent="0.35">
      <c r="A19" s="1" t="s">
        <v>384</v>
      </c>
      <c r="B19" s="3">
        <f t="shared" si="0"/>
        <v>17</v>
      </c>
      <c r="C19" s="7" t="s">
        <v>67</v>
      </c>
      <c r="D19" s="12" t="s">
        <v>39</v>
      </c>
    </row>
    <row r="20" spans="1:4" ht="26" x14ac:dyDescent="0.35">
      <c r="A20" s="2" t="s">
        <v>24</v>
      </c>
      <c r="B20" s="3">
        <f t="shared" si="0"/>
        <v>18</v>
      </c>
      <c r="C20" s="7" t="s">
        <v>466</v>
      </c>
      <c r="D20" s="12" t="s">
        <v>40</v>
      </c>
    </row>
    <row r="21" spans="1:4" x14ac:dyDescent="0.35">
      <c r="A21" s="1" t="s">
        <v>385</v>
      </c>
      <c r="B21" s="3">
        <f t="shared" si="0"/>
        <v>19</v>
      </c>
      <c r="C21" s="7" t="s">
        <v>69</v>
      </c>
      <c r="D21" s="12" t="s">
        <v>41</v>
      </c>
    </row>
    <row r="22" spans="1:4" ht="26" x14ac:dyDescent="0.35">
      <c r="A22" s="1" t="s">
        <v>386</v>
      </c>
      <c r="B22" s="3">
        <f t="shared" si="0"/>
        <v>20</v>
      </c>
      <c r="C22" s="7" t="s">
        <v>70</v>
      </c>
      <c r="D22" s="12" t="s">
        <v>42</v>
      </c>
    </row>
    <row r="23" spans="1:4" x14ac:dyDescent="0.35">
      <c r="A23" s="1" t="s">
        <v>387</v>
      </c>
      <c r="B23" s="3">
        <f t="shared" si="0"/>
        <v>21</v>
      </c>
      <c r="C23" s="7" t="s">
        <v>71</v>
      </c>
      <c r="D23" s="12" t="s">
        <v>43</v>
      </c>
    </row>
    <row r="24" spans="1:4" x14ac:dyDescent="0.35">
      <c r="A24" s="1" t="s">
        <v>388</v>
      </c>
      <c r="B24" s="3">
        <f t="shared" si="0"/>
        <v>22</v>
      </c>
      <c r="C24" s="7" t="s">
        <v>72</v>
      </c>
      <c r="D24" s="12" t="s">
        <v>44</v>
      </c>
    </row>
    <row r="25" spans="1:4" ht="39" x14ac:dyDescent="0.35">
      <c r="A25" s="1" t="s">
        <v>389</v>
      </c>
      <c r="B25" s="3">
        <f t="shared" si="0"/>
        <v>23</v>
      </c>
      <c r="C25" s="7" t="s">
        <v>73</v>
      </c>
      <c r="D25" s="12" t="s">
        <v>45</v>
      </c>
    </row>
    <row r="26" spans="1:4" ht="28.5" customHeight="1" x14ac:dyDescent="0.35">
      <c r="A26" s="1" t="s">
        <v>390</v>
      </c>
      <c r="B26" s="3">
        <f t="shared" si="0"/>
        <v>24</v>
      </c>
      <c r="C26" s="7" t="s">
        <v>74</v>
      </c>
      <c r="D26" s="12" t="s">
        <v>46</v>
      </c>
    </row>
    <row r="27" spans="1:4" ht="26" x14ac:dyDescent="0.35">
      <c r="A27" s="1" t="s">
        <v>391</v>
      </c>
      <c r="B27" s="3">
        <f t="shared" si="0"/>
        <v>25</v>
      </c>
      <c r="C27" s="7" t="s">
        <v>75</v>
      </c>
      <c r="D27" s="12" t="s">
        <v>47</v>
      </c>
    </row>
    <row r="28" spans="1:4" ht="85.5" customHeight="1" x14ac:dyDescent="0.35">
      <c r="A28" s="1" t="s">
        <v>392</v>
      </c>
      <c r="B28" s="3">
        <f t="shared" si="0"/>
        <v>26</v>
      </c>
      <c r="C28" s="7" t="s">
        <v>76</v>
      </c>
      <c r="D28" s="12" t="s">
        <v>357</v>
      </c>
    </row>
    <row r="29" spans="1:4" ht="39" x14ac:dyDescent="0.35">
      <c r="A29" s="1" t="s">
        <v>393</v>
      </c>
      <c r="B29" s="3">
        <f t="shared" si="0"/>
        <v>27</v>
      </c>
      <c r="C29" s="7" t="s">
        <v>77</v>
      </c>
      <c r="D29" s="12" t="s">
        <v>358</v>
      </c>
    </row>
    <row r="30" spans="1:4" ht="65" x14ac:dyDescent="0.35">
      <c r="A30" s="1" t="s">
        <v>394</v>
      </c>
      <c r="B30" s="3">
        <f t="shared" si="0"/>
        <v>28</v>
      </c>
      <c r="C30" s="7" t="s">
        <v>78</v>
      </c>
      <c r="D30" s="12" t="s">
        <v>48</v>
      </c>
    </row>
    <row r="31" spans="1:4" ht="104" x14ac:dyDescent="0.35">
      <c r="A31" s="1" t="s">
        <v>395</v>
      </c>
      <c r="B31" s="3">
        <f t="shared" si="0"/>
        <v>29</v>
      </c>
      <c r="C31" s="7" t="s">
        <v>79</v>
      </c>
      <c r="D31" s="12" t="s">
        <v>468</v>
      </c>
    </row>
    <row r="32" spans="1:4" ht="52" x14ac:dyDescent="0.35">
      <c r="A32" s="1" t="s">
        <v>396</v>
      </c>
      <c r="B32" s="3">
        <f t="shared" si="0"/>
        <v>30</v>
      </c>
      <c r="C32" s="7" t="s">
        <v>80</v>
      </c>
      <c r="D32" s="1" t="s">
        <v>49</v>
      </c>
    </row>
    <row r="33" spans="1:4" ht="39" x14ac:dyDescent="0.35">
      <c r="A33" s="2" t="s">
        <v>397</v>
      </c>
      <c r="B33" s="3">
        <f t="shared" si="0"/>
        <v>31</v>
      </c>
      <c r="C33" s="7" t="s">
        <v>81</v>
      </c>
      <c r="D33" s="12" t="s">
        <v>359</v>
      </c>
    </row>
    <row r="34" spans="1:4" ht="39" x14ac:dyDescent="0.35">
      <c r="A34" s="2" t="s">
        <v>398</v>
      </c>
      <c r="B34" s="3">
        <f t="shared" si="0"/>
        <v>32</v>
      </c>
      <c r="C34" s="7" t="s">
        <v>82</v>
      </c>
      <c r="D34" s="12" t="s">
        <v>345</v>
      </c>
    </row>
    <row r="35" spans="1:4" ht="52" x14ac:dyDescent="0.35">
      <c r="A35" s="2" t="s">
        <v>399</v>
      </c>
      <c r="B35" s="3">
        <f t="shared" si="0"/>
        <v>33</v>
      </c>
      <c r="C35" s="7" t="s">
        <v>83</v>
      </c>
      <c r="D35" s="12" t="s">
        <v>360</v>
      </c>
    </row>
    <row r="36" spans="1:4" ht="68" customHeight="1" x14ac:dyDescent="0.35">
      <c r="A36" s="2" t="s">
        <v>400</v>
      </c>
      <c r="B36" s="3">
        <f t="shared" si="0"/>
        <v>34</v>
      </c>
      <c r="C36" s="7" t="s">
        <v>361</v>
      </c>
      <c r="D36" s="12" t="s">
        <v>362</v>
      </c>
    </row>
    <row r="37" spans="1:4" ht="70" customHeight="1" x14ac:dyDescent="0.35">
      <c r="A37" s="1" t="s">
        <v>401</v>
      </c>
      <c r="B37" s="3">
        <f t="shared" si="0"/>
        <v>35</v>
      </c>
      <c r="C37" s="7" t="s">
        <v>84</v>
      </c>
      <c r="D37" s="12" t="s">
        <v>344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5665B-228B-49DE-9388-0C78B4E5ADF0}">
  <dimension ref="B2:C5"/>
  <sheetViews>
    <sheetView showGridLines="0" rightToLeft="1" zoomScale="120" zoomScaleNormal="120" workbookViewId="0">
      <selection activeCell="C1" sqref="C1:C1048576"/>
    </sheetView>
  </sheetViews>
  <sheetFormatPr defaultColWidth="9.1796875" defaultRowHeight="36" customHeight="1" x14ac:dyDescent="0.3"/>
  <cols>
    <col min="1" max="1" width="9.1796875" style="10"/>
    <col min="2" max="2" width="20.6328125" style="13" customWidth="1"/>
    <col min="3" max="3" width="43.08984375" style="13" customWidth="1"/>
    <col min="4" max="16384" width="9.1796875" style="10"/>
  </cols>
  <sheetData>
    <row r="2" spans="2:3" ht="36" customHeight="1" x14ac:dyDescent="0.3">
      <c r="B2" s="71" t="s">
        <v>0</v>
      </c>
      <c r="C2" s="13" t="s">
        <v>363</v>
      </c>
    </row>
    <row r="3" spans="2:3" ht="36" customHeight="1" x14ac:dyDescent="0.3">
      <c r="B3" s="13" t="s">
        <v>0</v>
      </c>
      <c r="C3" s="13" t="s">
        <v>469</v>
      </c>
    </row>
    <row r="4" spans="2:3" ht="36" customHeight="1" x14ac:dyDescent="0.3">
      <c r="B4" s="13" t="s">
        <v>365</v>
      </c>
      <c r="C4" s="13" t="s">
        <v>366</v>
      </c>
    </row>
    <row r="5" spans="2:3" ht="36" customHeight="1" x14ac:dyDescent="0.3">
      <c r="B5" s="13" t="s">
        <v>364</v>
      </c>
      <c r="C5" s="1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9"/>
  <sheetViews>
    <sheetView showGridLines="0" rightToLeft="1" zoomScale="99" zoomScaleNormal="99" workbookViewId="0">
      <selection activeCell="J1" sqref="J1:J1048576"/>
    </sheetView>
  </sheetViews>
  <sheetFormatPr defaultColWidth="9.1796875" defaultRowHeight="29" customHeight="1" x14ac:dyDescent="0.3"/>
  <cols>
    <col min="1" max="1" width="4.81640625" style="15" customWidth="1"/>
    <col min="2" max="2" width="5" style="16" customWidth="1"/>
    <col min="3" max="3" width="8.81640625" style="13" customWidth="1"/>
    <col min="4" max="4" width="8.81640625" style="15" customWidth="1"/>
    <col min="5" max="5" width="8.81640625" style="17" customWidth="1"/>
    <col min="6" max="6" width="8.81640625" style="15" customWidth="1"/>
    <col min="7" max="7" width="9.1796875" style="15" customWidth="1"/>
    <col min="8" max="8" width="9.1796875" style="13"/>
    <col min="9" max="9" width="9.1796875" style="15"/>
    <col min="10" max="10" width="20.90625" style="13" customWidth="1"/>
    <col min="11" max="16384" width="9.1796875" style="15"/>
  </cols>
  <sheetData>
    <row r="2" spans="2:10" ht="29" customHeight="1" x14ac:dyDescent="0.3">
      <c r="I2" s="16" t="s">
        <v>83</v>
      </c>
    </row>
    <row r="4" spans="2:10" ht="29" customHeight="1" x14ac:dyDescent="0.3">
      <c r="D4" s="140"/>
      <c r="E4" s="140"/>
      <c r="F4" s="140"/>
    </row>
    <row r="5" spans="2:10" ht="29" customHeight="1" x14ac:dyDescent="0.3">
      <c r="E5" s="18" t="s">
        <v>350</v>
      </c>
      <c r="F5" s="16"/>
    </row>
    <row r="6" spans="2:10" ht="29" customHeight="1" x14ac:dyDescent="0.3">
      <c r="E6" s="19" t="s">
        <v>86</v>
      </c>
      <c r="F6" s="20"/>
      <c r="G6" s="21"/>
    </row>
    <row r="7" spans="2:10" ht="29" customHeight="1" x14ac:dyDescent="0.3">
      <c r="E7" s="19" t="s">
        <v>87</v>
      </c>
      <c r="F7" s="20"/>
      <c r="G7" s="21"/>
    </row>
    <row r="8" spans="2:10" ht="29" customHeight="1" x14ac:dyDescent="0.3">
      <c r="G8" s="22"/>
      <c r="J8" s="23" t="s">
        <v>122</v>
      </c>
    </row>
    <row r="9" spans="2:10" ht="29" customHeight="1" x14ac:dyDescent="0.3">
      <c r="B9" s="16" t="s">
        <v>1</v>
      </c>
      <c r="C9" s="24" t="s">
        <v>88</v>
      </c>
      <c r="D9" s="25"/>
      <c r="E9" s="26"/>
      <c r="F9" s="25"/>
      <c r="G9" s="27">
        <f>SUM(G10,G11,G14,G15,G16,G17,G18,G21,G22)</f>
        <v>1446.6552906539489</v>
      </c>
      <c r="I9" s="28">
        <v>1</v>
      </c>
      <c r="J9" s="29" t="s">
        <v>346</v>
      </c>
    </row>
    <row r="10" spans="2:10" ht="29" customHeight="1" x14ac:dyDescent="0.3">
      <c r="C10" s="13" t="s">
        <v>89</v>
      </c>
      <c r="G10" s="30">
        <v>69.063000000000002</v>
      </c>
      <c r="I10" s="28">
        <v>2</v>
      </c>
      <c r="J10" s="29" t="s">
        <v>347</v>
      </c>
    </row>
    <row r="11" spans="2:10" ht="29" customHeight="1" x14ac:dyDescent="0.3">
      <c r="C11" s="13" t="s">
        <v>90</v>
      </c>
      <c r="G11" s="31">
        <f>G12+G13</f>
        <v>681.37</v>
      </c>
      <c r="I11" s="28">
        <v>3</v>
      </c>
      <c r="J11" s="29" t="s">
        <v>348</v>
      </c>
    </row>
    <row r="12" spans="2:10" ht="29" customHeight="1" x14ac:dyDescent="0.3">
      <c r="C12" s="32" t="s">
        <v>91</v>
      </c>
      <c r="G12" s="33">
        <v>511.02750000000003</v>
      </c>
      <c r="I12" s="28">
        <v>4</v>
      </c>
      <c r="J12" s="29" t="s">
        <v>349</v>
      </c>
    </row>
    <row r="13" spans="2:10" ht="29" customHeight="1" x14ac:dyDescent="0.3">
      <c r="C13" s="32" t="s">
        <v>92</v>
      </c>
      <c r="G13" s="33">
        <v>170.3425</v>
      </c>
      <c r="I13" s="28">
        <v>5</v>
      </c>
      <c r="J13" s="29" t="s">
        <v>403</v>
      </c>
    </row>
    <row r="14" spans="2:10" ht="29" customHeight="1" x14ac:dyDescent="0.3">
      <c r="C14" s="13" t="s">
        <v>93</v>
      </c>
      <c r="G14" s="30">
        <v>0</v>
      </c>
      <c r="I14" s="28">
        <v>6</v>
      </c>
      <c r="J14" s="29" t="s">
        <v>402</v>
      </c>
    </row>
    <row r="15" spans="2:10" ht="29" customHeight="1" x14ac:dyDescent="0.3">
      <c r="C15" s="13" t="s">
        <v>94</v>
      </c>
      <c r="G15" s="30">
        <v>45.035999999999994</v>
      </c>
      <c r="I15" s="28">
        <v>7</v>
      </c>
      <c r="J15" s="29"/>
    </row>
    <row r="16" spans="2:10" ht="29" customHeight="1" x14ac:dyDescent="0.3">
      <c r="C16" s="13" t="s">
        <v>95</v>
      </c>
      <c r="G16" s="30">
        <v>334.36099999999999</v>
      </c>
      <c r="I16" s="28">
        <v>8</v>
      </c>
      <c r="J16" s="29" t="s">
        <v>404</v>
      </c>
    </row>
    <row r="17" spans="2:9" ht="29" customHeight="1" x14ac:dyDescent="0.3">
      <c r="C17" s="13" t="s">
        <v>96</v>
      </c>
      <c r="G17" s="30">
        <v>130.64300000000003</v>
      </c>
      <c r="I17" s="28"/>
    </row>
    <row r="18" spans="2:9" ht="29" customHeight="1" x14ac:dyDescent="0.3">
      <c r="C18" s="13" t="s">
        <v>97</v>
      </c>
      <c r="G18" s="34">
        <f>G19-G20</f>
        <v>175.08929065394892</v>
      </c>
    </row>
    <row r="19" spans="2:9" ht="29" customHeight="1" x14ac:dyDescent="0.3">
      <c r="C19" s="32" t="s">
        <v>98</v>
      </c>
      <c r="D19" s="35"/>
      <c r="E19" s="36"/>
      <c r="F19" s="35"/>
      <c r="G19" s="33">
        <v>199.63800000000001</v>
      </c>
    </row>
    <row r="20" spans="2:9" ht="29" customHeight="1" x14ac:dyDescent="0.3">
      <c r="C20" s="32" t="s">
        <v>99</v>
      </c>
      <c r="D20" s="35"/>
      <c r="E20" s="36"/>
      <c r="F20" s="35"/>
      <c r="G20" s="33">
        <v>24.548709346051073</v>
      </c>
    </row>
    <row r="21" spans="2:9" ht="29" customHeight="1" x14ac:dyDescent="0.3">
      <c r="C21" s="13" t="s">
        <v>100</v>
      </c>
      <c r="G21" s="30">
        <v>0</v>
      </c>
      <c r="H21" s="29" t="s">
        <v>408</v>
      </c>
    </row>
    <row r="22" spans="2:9" ht="29" customHeight="1" x14ac:dyDescent="0.3">
      <c r="C22" s="13" t="s">
        <v>79</v>
      </c>
      <c r="G22" s="30">
        <v>11.093</v>
      </c>
    </row>
    <row r="24" spans="2:9" ht="29" customHeight="1" x14ac:dyDescent="0.3">
      <c r="B24" s="16" t="s">
        <v>2</v>
      </c>
      <c r="C24" s="139" t="s">
        <v>406</v>
      </c>
      <c r="D24" s="139"/>
      <c r="E24" s="139"/>
      <c r="F24" s="139"/>
      <c r="G24" s="27">
        <f>SUM(G25:G28)</f>
        <v>23.233999999999998</v>
      </c>
    </row>
    <row r="25" spans="2:9" ht="29" customHeight="1" x14ac:dyDescent="0.3">
      <c r="C25" s="37" t="s">
        <v>101</v>
      </c>
      <c r="G25" s="30">
        <v>21.45</v>
      </c>
    </row>
    <row r="26" spans="2:9" ht="29" customHeight="1" x14ac:dyDescent="0.3">
      <c r="C26" s="13" t="s">
        <v>80</v>
      </c>
      <c r="G26" s="30">
        <v>1.784</v>
      </c>
    </row>
    <row r="27" spans="2:9" ht="29" customHeight="1" x14ac:dyDescent="0.3">
      <c r="C27" s="13" t="s">
        <v>73</v>
      </c>
      <c r="G27" s="30">
        <v>0</v>
      </c>
    </row>
    <row r="28" spans="2:9" ht="29" customHeight="1" x14ac:dyDescent="0.3">
      <c r="C28" s="13" t="s">
        <v>102</v>
      </c>
      <c r="G28" s="30">
        <v>0</v>
      </c>
    </row>
    <row r="30" spans="2:9" ht="29" customHeight="1" x14ac:dyDescent="0.3">
      <c r="B30" s="16" t="s">
        <v>3</v>
      </c>
      <c r="C30" s="24" t="s">
        <v>103</v>
      </c>
      <c r="D30" s="25"/>
      <c r="E30" s="26"/>
      <c r="F30" s="25"/>
      <c r="G30" s="27">
        <f>G31*G32</f>
        <v>507.78078875034822</v>
      </c>
    </row>
    <row r="31" spans="2:9" ht="29" customHeight="1" x14ac:dyDescent="0.3">
      <c r="C31" s="13" t="s">
        <v>407</v>
      </c>
      <c r="G31" s="38">
        <v>0.104</v>
      </c>
    </row>
    <row r="32" spans="2:9" ht="29" customHeight="1" x14ac:dyDescent="0.3">
      <c r="C32" s="13" t="s">
        <v>306</v>
      </c>
      <c r="G32" s="34">
        <f>G66</f>
        <v>4882.5075841379639</v>
      </c>
    </row>
    <row r="34" spans="2:11" ht="29" customHeight="1" x14ac:dyDescent="0.3">
      <c r="B34" s="39" t="s">
        <v>4</v>
      </c>
      <c r="C34" s="40" t="s">
        <v>104</v>
      </c>
      <c r="D34" s="41"/>
      <c r="E34" s="42"/>
      <c r="F34" s="41"/>
      <c r="G34" s="43">
        <f>G9-G24+G30</f>
        <v>1931.2020794042971</v>
      </c>
    </row>
    <row r="35" spans="2:11" ht="29" customHeight="1" x14ac:dyDescent="0.3">
      <c r="B35" s="39"/>
      <c r="C35" s="37" t="s">
        <v>5</v>
      </c>
      <c r="D35" s="44"/>
      <c r="E35" s="45"/>
      <c r="F35" s="44"/>
      <c r="G35" s="46"/>
    </row>
    <row r="38" spans="2:11" ht="29" customHeight="1" x14ac:dyDescent="0.3">
      <c r="E38" s="18" t="s">
        <v>81</v>
      </c>
    </row>
    <row r="39" spans="2:11" ht="29" customHeight="1" x14ac:dyDescent="0.3">
      <c r="E39" s="19" t="s">
        <v>86</v>
      </c>
      <c r="F39" s="20"/>
      <c r="G39" s="21"/>
    </row>
    <row r="40" spans="2:11" ht="29" customHeight="1" x14ac:dyDescent="0.3">
      <c r="E40" s="19" t="s">
        <v>87</v>
      </c>
      <c r="F40" s="20"/>
      <c r="G40" s="21"/>
    </row>
    <row r="41" spans="2:11" ht="29" customHeight="1" x14ac:dyDescent="0.3">
      <c r="G41" s="22"/>
      <c r="J41" s="23" t="s">
        <v>122</v>
      </c>
    </row>
    <row r="42" spans="2:11" ht="29" customHeight="1" x14ac:dyDescent="0.3">
      <c r="B42" s="47" t="s">
        <v>1</v>
      </c>
      <c r="C42" s="37" t="s">
        <v>68</v>
      </c>
      <c r="D42" s="48"/>
      <c r="E42" s="49"/>
      <c r="G42" s="31">
        <f>SUM(G43:G45)</f>
        <v>7613.9230000000007</v>
      </c>
      <c r="I42" s="28">
        <v>1</v>
      </c>
      <c r="J42" s="29" t="s">
        <v>351</v>
      </c>
    </row>
    <row r="43" spans="2:11" ht="29" customHeight="1" x14ac:dyDescent="0.3">
      <c r="B43" s="47"/>
      <c r="C43" s="37" t="s">
        <v>116</v>
      </c>
      <c r="D43" s="48"/>
      <c r="E43" s="49"/>
      <c r="G43" s="30">
        <v>7125.8270000000002</v>
      </c>
      <c r="I43" s="28">
        <v>2</v>
      </c>
      <c r="J43" s="29" t="s">
        <v>352</v>
      </c>
    </row>
    <row r="44" spans="2:11" ht="29" customHeight="1" x14ac:dyDescent="0.3">
      <c r="B44" s="47"/>
      <c r="C44" s="37" t="s">
        <v>105</v>
      </c>
      <c r="D44" s="48"/>
      <c r="E44" s="49"/>
      <c r="G44" s="30">
        <v>313.48700000000002</v>
      </c>
      <c r="J44" s="50"/>
      <c r="K44" s="21"/>
    </row>
    <row r="45" spans="2:11" ht="29" customHeight="1" x14ac:dyDescent="0.3">
      <c r="B45" s="47"/>
      <c r="C45" s="37" t="s">
        <v>117</v>
      </c>
      <c r="D45" s="48"/>
      <c r="E45" s="49"/>
      <c r="G45" s="30">
        <v>174.60900000000001</v>
      </c>
    </row>
    <row r="46" spans="2:11" ht="29" customHeight="1" x14ac:dyDescent="0.3">
      <c r="B46" s="47" t="s">
        <v>2</v>
      </c>
      <c r="C46" s="37" t="s">
        <v>409</v>
      </c>
      <c r="D46" s="48"/>
      <c r="E46" s="49"/>
      <c r="G46" s="30">
        <v>1119.357299911042</v>
      </c>
    </row>
    <row r="47" spans="2:11" ht="29" customHeight="1" x14ac:dyDescent="0.3">
      <c r="B47" s="47" t="s">
        <v>3</v>
      </c>
      <c r="C47" s="37" t="s">
        <v>106</v>
      </c>
      <c r="D47" s="48"/>
      <c r="E47" s="49"/>
      <c r="G47" s="31">
        <f>G42-G46</f>
        <v>6494.5657000889587</v>
      </c>
    </row>
    <row r="48" spans="2:11" ht="29" customHeight="1" x14ac:dyDescent="0.3">
      <c r="B48" s="47"/>
      <c r="C48" s="37"/>
      <c r="D48" s="48"/>
      <c r="E48" s="49"/>
      <c r="G48" s="31"/>
    </row>
    <row r="49" spans="2:7" ht="29" customHeight="1" x14ac:dyDescent="0.3">
      <c r="B49" s="47" t="s">
        <v>4</v>
      </c>
      <c r="C49" s="37" t="s">
        <v>107</v>
      </c>
      <c r="D49" s="48"/>
      <c r="E49" s="49"/>
      <c r="G49" s="31">
        <f>SUM(G50:G52)</f>
        <v>3647.1420000000003</v>
      </c>
    </row>
    <row r="50" spans="2:7" ht="29" customHeight="1" x14ac:dyDescent="0.3">
      <c r="B50" s="47"/>
      <c r="C50" s="37" t="s">
        <v>116</v>
      </c>
      <c r="D50" s="48"/>
      <c r="E50" s="49"/>
      <c r="G50" s="51">
        <v>3387.739</v>
      </c>
    </row>
    <row r="51" spans="2:7" ht="29" customHeight="1" x14ac:dyDescent="0.3">
      <c r="B51" s="47"/>
      <c r="C51" s="37" t="s">
        <v>105</v>
      </c>
      <c r="D51" s="48"/>
      <c r="E51" s="49"/>
      <c r="G51" s="51">
        <v>141.66800000000001</v>
      </c>
    </row>
    <row r="52" spans="2:7" ht="29" customHeight="1" x14ac:dyDescent="0.3">
      <c r="B52" s="47"/>
      <c r="C52" s="37" t="s">
        <v>117</v>
      </c>
      <c r="D52" s="48"/>
      <c r="E52" s="49"/>
      <c r="G52" s="51">
        <v>117.735</v>
      </c>
    </row>
    <row r="53" spans="2:7" ht="29" customHeight="1" x14ac:dyDescent="0.3">
      <c r="B53" s="47" t="s">
        <v>6</v>
      </c>
      <c r="C53" s="37" t="s">
        <v>410</v>
      </c>
      <c r="D53" s="48"/>
      <c r="E53" s="49"/>
      <c r="G53" s="30">
        <v>448.47488404900571</v>
      </c>
    </row>
    <row r="54" spans="2:7" ht="29" customHeight="1" x14ac:dyDescent="0.3">
      <c r="B54" s="47" t="s">
        <v>7</v>
      </c>
      <c r="C54" s="37" t="s">
        <v>108</v>
      </c>
      <c r="D54" s="48"/>
      <c r="E54" s="49"/>
      <c r="G54" s="31">
        <f>G49-G53</f>
        <v>3198.6671159509947</v>
      </c>
    </row>
    <row r="55" spans="2:7" ht="29" customHeight="1" x14ac:dyDescent="0.3">
      <c r="B55" s="47"/>
      <c r="C55" s="37"/>
      <c r="D55" s="48"/>
      <c r="E55" s="49"/>
      <c r="G55" s="31"/>
    </row>
    <row r="56" spans="2:7" ht="29" customHeight="1" x14ac:dyDescent="0.3">
      <c r="B56" s="47"/>
      <c r="C56" s="37"/>
      <c r="D56" s="48"/>
      <c r="E56" s="49"/>
      <c r="G56" s="31"/>
    </row>
    <row r="57" spans="2:7" ht="29" customHeight="1" x14ac:dyDescent="0.3">
      <c r="B57" s="47" t="s">
        <v>8</v>
      </c>
      <c r="C57" s="37" t="s">
        <v>118</v>
      </c>
      <c r="D57" s="48"/>
      <c r="E57" s="49"/>
      <c r="G57" s="31">
        <f>G47-G54</f>
        <v>3295.898584137964</v>
      </c>
    </row>
    <row r="58" spans="2:7" ht="29" customHeight="1" x14ac:dyDescent="0.3">
      <c r="B58" s="47"/>
      <c r="C58" s="37"/>
      <c r="D58" s="48"/>
      <c r="E58" s="49"/>
      <c r="G58" s="31"/>
    </row>
    <row r="59" spans="2:7" ht="29" customHeight="1" x14ac:dyDescent="0.3">
      <c r="B59" s="47" t="s">
        <v>9</v>
      </c>
      <c r="C59" s="37" t="s">
        <v>109</v>
      </c>
      <c r="D59" s="48"/>
      <c r="E59" s="49"/>
      <c r="G59" s="51">
        <v>1487.4369999999999</v>
      </c>
    </row>
    <row r="60" spans="2:7" ht="29" customHeight="1" x14ac:dyDescent="0.3">
      <c r="B60" s="47" t="s">
        <v>10</v>
      </c>
      <c r="C60" s="37" t="s">
        <v>110</v>
      </c>
      <c r="D60" s="48"/>
      <c r="E60" s="49"/>
      <c r="G60" s="31">
        <f>G61+G62-G63-G64</f>
        <v>99.172000000000068</v>
      </c>
    </row>
    <row r="61" spans="2:7" ht="29" customHeight="1" x14ac:dyDescent="0.3">
      <c r="B61" s="47"/>
      <c r="C61" s="37" t="s">
        <v>111</v>
      </c>
      <c r="D61" s="48"/>
      <c r="E61" s="49"/>
      <c r="G61" s="31">
        <f>SUM(G10,G15,G16,G17)/12</f>
        <v>48.258583333333341</v>
      </c>
    </row>
    <row r="62" spans="2:7" ht="29" customHeight="1" x14ac:dyDescent="0.3">
      <c r="B62" s="47"/>
      <c r="C62" s="37" t="s">
        <v>112</v>
      </c>
      <c r="D62" s="48"/>
      <c r="E62" s="49"/>
      <c r="G62" s="31">
        <f>العميل!AG43/6</f>
        <v>174.38750000000005</v>
      </c>
    </row>
    <row r="63" spans="2:7" ht="29" customHeight="1" x14ac:dyDescent="0.3">
      <c r="B63" s="47"/>
      <c r="C63" s="37" t="s">
        <v>113</v>
      </c>
      <c r="D63" s="48"/>
      <c r="E63" s="49"/>
      <c r="G63" s="31">
        <f>SUM(G10,G11,G14)/12</f>
        <v>62.53608333333333</v>
      </c>
    </row>
    <row r="64" spans="2:7" ht="29" customHeight="1" x14ac:dyDescent="0.3">
      <c r="B64" s="47"/>
      <c r="C64" s="37" t="s">
        <v>114</v>
      </c>
      <c r="D64" s="48"/>
      <c r="E64" s="49"/>
      <c r="G64" s="51">
        <v>60.938000000000002</v>
      </c>
    </row>
    <row r="65" spans="2:11" ht="29" customHeight="1" x14ac:dyDescent="0.3">
      <c r="B65" s="47"/>
      <c r="C65" s="37"/>
      <c r="D65" s="48"/>
      <c r="E65" s="49"/>
      <c r="G65" s="31"/>
    </row>
    <row r="66" spans="2:11" ht="29" customHeight="1" x14ac:dyDescent="0.3">
      <c r="B66" s="47" t="s">
        <v>11</v>
      </c>
      <c r="C66" s="40" t="s">
        <v>353</v>
      </c>
      <c r="D66" s="52"/>
      <c r="E66" s="53"/>
      <c r="G66" s="54">
        <f>G57+G59+G60</f>
        <v>4882.5075841379639</v>
      </c>
    </row>
    <row r="69" spans="2:11" ht="29" customHeight="1" x14ac:dyDescent="0.3">
      <c r="E69" s="18" t="s">
        <v>119</v>
      </c>
    </row>
    <row r="70" spans="2:11" ht="29" customHeight="1" x14ac:dyDescent="0.3">
      <c r="E70" s="19" t="s">
        <v>86</v>
      </c>
    </row>
    <row r="71" spans="2:11" ht="29" customHeight="1" x14ac:dyDescent="0.3">
      <c r="J71" s="23" t="s">
        <v>122</v>
      </c>
    </row>
    <row r="72" spans="2:11" ht="29" customHeight="1" x14ac:dyDescent="0.3">
      <c r="B72" s="20">
        <v>1</v>
      </c>
      <c r="C72" s="13" t="s">
        <v>120</v>
      </c>
      <c r="G72" s="14">
        <v>500</v>
      </c>
      <c r="I72" s="28">
        <v>1</v>
      </c>
      <c r="J72" s="29" t="s">
        <v>405</v>
      </c>
    </row>
    <row r="73" spans="2:11" ht="29" customHeight="1" x14ac:dyDescent="0.3">
      <c r="B73" s="20">
        <v>2</v>
      </c>
      <c r="C73" s="13" t="s">
        <v>115</v>
      </c>
      <c r="G73" s="14">
        <v>150</v>
      </c>
      <c r="I73" s="28">
        <v>2</v>
      </c>
      <c r="J73" s="29" t="s">
        <v>123</v>
      </c>
    </row>
    <row r="74" spans="2:11" ht="29" customHeight="1" x14ac:dyDescent="0.3">
      <c r="B74" s="20">
        <v>3</v>
      </c>
      <c r="C74" s="13" t="s">
        <v>121</v>
      </c>
      <c r="G74" s="14">
        <v>1200</v>
      </c>
      <c r="I74" s="28">
        <v>3</v>
      </c>
      <c r="J74" s="29" t="s">
        <v>124</v>
      </c>
    </row>
    <row r="75" spans="2:11" ht="29" customHeight="1" x14ac:dyDescent="0.3">
      <c r="G75" s="15">
        <f>SUM(G72:G74)</f>
        <v>1850</v>
      </c>
      <c r="I75" s="28"/>
      <c r="J75" s="29"/>
    </row>
    <row r="76" spans="2:11" ht="29" customHeight="1" x14ac:dyDescent="0.3">
      <c r="J76" s="55" t="s">
        <v>125</v>
      </c>
      <c r="K76" s="56"/>
    </row>
    <row r="77" spans="2:11" ht="29" customHeight="1" x14ac:dyDescent="0.3">
      <c r="J77" s="57" t="s">
        <v>126</v>
      </c>
      <c r="K77" s="56"/>
    </row>
    <row r="78" spans="2:11" ht="29" customHeight="1" x14ac:dyDescent="0.3">
      <c r="J78" s="57" t="s">
        <v>127</v>
      </c>
      <c r="K78" s="56"/>
    </row>
    <row r="79" spans="2:11" ht="29" customHeight="1" x14ac:dyDescent="0.3">
      <c r="J79" s="57" t="s">
        <v>128</v>
      </c>
      <c r="K79" s="56"/>
    </row>
  </sheetData>
  <mergeCells count="2">
    <mergeCell ref="C24:F24"/>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1FA5-F8D4-480A-A253-5372F6EBCFEE}">
  <dimension ref="B2:AL43"/>
  <sheetViews>
    <sheetView showGridLines="0" rightToLeft="1" zoomScaleNormal="100" workbookViewId="0">
      <selection sqref="A1:XFD1048576"/>
    </sheetView>
  </sheetViews>
  <sheetFormatPr defaultColWidth="9.1796875" defaultRowHeight="35.5" customHeight="1" x14ac:dyDescent="0.3"/>
  <cols>
    <col min="1" max="2" width="5.54296875" style="60" customWidth="1"/>
    <col min="3" max="5" width="9.1796875" style="60"/>
    <col min="6" max="6" width="10.453125" style="60" customWidth="1"/>
    <col min="7" max="27" width="9.1796875" style="60"/>
    <col min="28" max="28" width="13.54296875" style="60" customWidth="1"/>
    <col min="29" max="16384" width="9.1796875" style="60"/>
  </cols>
  <sheetData>
    <row r="2" spans="2:38" ht="35.5" customHeight="1" x14ac:dyDescent="0.3">
      <c r="L2" s="72" t="s">
        <v>132</v>
      </c>
    </row>
    <row r="4" spans="2:38" ht="35.5" customHeight="1" x14ac:dyDescent="0.3">
      <c r="C4" s="73" t="s">
        <v>129</v>
      </c>
      <c r="D4" s="58"/>
      <c r="F4" s="74" t="s">
        <v>130</v>
      </c>
      <c r="G4" s="75"/>
      <c r="H4" s="75"/>
      <c r="J4" s="74" t="s">
        <v>446</v>
      </c>
      <c r="K4" s="75"/>
      <c r="M4" s="58" t="s">
        <v>137</v>
      </c>
      <c r="N4" s="58"/>
      <c r="O4" s="58"/>
      <c r="Q4" s="58" t="s">
        <v>139</v>
      </c>
      <c r="R4" s="58"/>
      <c r="S4" s="58"/>
      <c r="T4" s="58"/>
    </row>
    <row r="5" spans="2:38" ht="35.5" customHeight="1" x14ac:dyDescent="0.3">
      <c r="C5" s="58" t="str">
        <f>'متطلبات الإيرادات'!J77</f>
        <v>الجهد العالي - أعلى من 66 كيلو فولت</v>
      </c>
      <c r="D5" s="58"/>
      <c r="F5" s="76" t="s">
        <v>131</v>
      </c>
      <c r="G5" s="76"/>
      <c r="H5" s="76"/>
      <c r="J5" s="76" t="s">
        <v>134</v>
      </c>
      <c r="K5" s="76"/>
      <c r="M5" s="58" t="s">
        <v>138</v>
      </c>
      <c r="N5" s="58"/>
      <c r="O5" s="58"/>
      <c r="Q5" s="58" t="s">
        <v>140</v>
      </c>
      <c r="R5" s="58"/>
      <c r="S5" s="58"/>
      <c r="T5" s="58"/>
    </row>
    <row r="6" spans="2:38" ht="35.5" customHeight="1" x14ac:dyDescent="0.3">
      <c r="C6" s="58" t="str">
        <f>'متطلبات الإيرادات'!J78</f>
        <v>الجهد المتوسط ​​- من 11 كيلو فولت حتى 66 كيلو فولت</v>
      </c>
      <c r="D6" s="58"/>
      <c r="F6" s="76" t="s">
        <v>448</v>
      </c>
      <c r="G6" s="76"/>
      <c r="H6" s="76"/>
      <c r="J6" s="76" t="s">
        <v>135</v>
      </c>
      <c r="K6" s="76"/>
      <c r="M6" s="59" t="s">
        <v>447</v>
      </c>
      <c r="N6" s="58"/>
      <c r="O6" s="58"/>
      <c r="Q6" s="58" t="s">
        <v>141</v>
      </c>
      <c r="R6" s="58"/>
      <c r="S6" s="58"/>
      <c r="T6" s="58"/>
    </row>
    <row r="7" spans="2:38" ht="35.5" customHeight="1" x14ac:dyDescent="0.3">
      <c r="C7" s="58" t="str">
        <f>'متطلبات الإيرادات'!J79</f>
        <v>الجهد المنخفض - 230 فولت، 400 فولت، إلخ.</v>
      </c>
      <c r="D7" s="58"/>
      <c r="F7" s="76"/>
      <c r="G7" s="76"/>
      <c r="H7" s="76"/>
      <c r="J7" s="76" t="s">
        <v>136</v>
      </c>
      <c r="K7" s="76"/>
      <c r="M7" s="58"/>
      <c r="N7" s="58"/>
      <c r="O7" s="58"/>
      <c r="Q7" s="58"/>
      <c r="R7" s="58"/>
      <c r="S7" s="58"/>
      <c r="T7" s="58"/>
    </row>
    <row r="9" spans="2:38" ht="35.5" customHeight="1" x14ac:dyDescent="0.3">
      <c r="C9" s="72"/>
      <c r="D9" s="72"/>
      <c r="E9" s="72"/>
      <c r="F9" s="142" t="s">
        <v>173</v>
      </c>
      <c r="G9" s="142"/>
      <c r="H9" s="142"/>
      <c r="I9" s="142"/>
      <c r="K9" s="142" t="s">
        <v>174</v>
      </c>
      <c r="L9" s="142"/>
      <c r="M9" s="142"/>
      <c r="N9" s="142"/>
      <c r="O9" s="142"/>
      <c r="P9" s="142"/>
      <c r="Q9" s="142"/>
      <c r="R9" s="142"/>
      <c r="S9" s="142"/>
      <c r="T9" s="142"/>
      <c r="U9" s="142"/>
      <c r="V9" s="142"/>
      <c r="Z9" s="142" t="s">
        <v>160</v>
      </c>
      <c r="AA9" s="142"/>
      <c r="AB9" s="142"/>
      <c r="AD9" s="142" t="s">
        <v>159</v>
      </c>
      <c r="AE9" s="142"/>
      <c r="AF9" s="142"/>
      <c r="AG9" s="142"/>
    </row>
    <row r="10" spans="2:38" s="7" customFormat="1" ht="35.5" customHeight="1" x14ac:dyDescent="0.35">
      <c r="C10" s="7" t="s">
        <v>142</v>
      </c>
      <c r="F10" s="7" t="s">
        <v>143</v>
      </c>
      <c r="G10" s="7" t="s">
        <v>144</v>
      </c>
      <c r="H10" s="7" t="s">
        <v>130</v>
      </c>
      <c r="I10" s="7" t="s">
        <v>133</v>
      </c>
      <c r="J10" s="7" t="s">
        <v>145</v>
      </c>
      <c r="K10" s="7" t="s">
        <v>146</v>
      </c>
      <c r="L10" s="7" t="s">
        <v>445</v>
      </c>
      <c r="M10" s="7" t="s">
        <v>147</v>
      </c>
      <c r="N10" s="7" t="s">
        <v>148</v>
      </c>
      <c r="O10" s="7" t="s">
        <v>77</v>
      </c>
      <c r="P10" s="7" t="s">
        <v>64</v>
      </c>
      <c r="Q10" s="7" t="s">
        <v>443</v>
      </c>
      <c r="R10" s="7" t="s">
        <v>444</v>
      </c>
      <c r="S10" s="7" t="s">
        <v>149</v>
      </c>
      <c r="T10" s="7" t="s">
        <v>65</v>
      </c>
      <c r="U10" s="7" t="s">
        <v>149</v>
      </c>
      <c r="V10" s="7" t="s">
        <v>150</v>
      </c>
      <c r="W10" s="7" t="s">
        <v>151</v>
      </c>
      <c r="X10" s="7" t="s">
        <v>151</v>
      </c>
      <c r="Z10" s="7" t="s">
        <v>152</v>
      </c>
      <c r="AA10" s="7" t="s">
        <v>153</v>
      </c>
      <c r="AB10" s="7" t="s">
        <v>154</v>
      </c>
      <c r="AD10" s="7" t="s">
        <v>155</v>
      </c>
      <c r="AE10" s="7" t="s">
        <v>156</v>
      </c>
      <c r="AF10" s="7" t="s">
        <v>157</v>
      </c>
      <c r="AG10" s="7" t="s">
        <v>158</v>
      </c>
    </row>
    <row r="11" spans="2:38" s="63" customFormat="1" ht="35.5" customHeight="1" x14ac:dyDescent="0.35">
      <c r="C11" s="141" t="s">
        <v>171</v>
      </c>
      <c r="D11" s="141"/>
      <c r="E11" s="141"/>
      <c r="F11" s="63" t="s">
        <v>162</v>
      </c>
      <c r="G11" s="63" t="s">
        <v>163</v>
      </c>
      <c r="H11" s="63" t="s">
        <v>15</v>
      </c>
      <c r="I11" s="63" t="s">
        <v>164</v>
      </c>
      <c r="J11" s="63" t="s">
        <v>165</v>
      </c>
      <c r="K11" s="63" t="s">
        <v>166</v>
      </c>
      <c r="L11" s="63" t="s">
        <v>411</v>
      </c>
      <c r="M11" s="63" t="s">
        <v>411</v>
      </c>
      <c r="N11" s="63" t="s">
        <v>167</v>
      </c>
      <c r="O11" s="63" t="s">
        <v>166</v>
      </c>
      <c r="P11" s="63" t="s">
        <v>166</v>
      </c>
      <c r="Q11" s="63" t="s">
        <v>411</v>
      </c>
      <c r="R11" s="63" t="s">
        <v>411</v>
      </c>
      <c r="S11" s="63" t="s">
        <v>166</v>
      </c>
      <c r="T11" s="63" t="s">
        <v>166</v>
      </c>
      <c r="U11" s="63" t="s">
        <v>411</v>
      </c>
      <c r="V11" s="63" t="s">
        <v>411</v>
      </c>
      <c r="W11" s="63" t="s">
        <v>166</v>
      </c>
      <c r="X11" s="63" t="s">
        <v>15</v>
      </c>
      <c r="Z11" s="63" t="s">
        <v>168</v>
      </c>
      <c r="AA11" s="63" t="s">
        <v>169</v>
      </c>
      <c r="AB11" s="63" t="s">
        <v>170</v>
      </c>
      <c r="AD11" s="63" t="s">
        <v>170</v>
      </c>
      <c r="AE11" s="63" t="s">
        <v>170</v>
      </c>
      <c r="AF11" s="63" t="s">
        <v>170</v>
      </c>
      <c r="AG11" s="63" t="s">
        <v>170</v>
      </c>
      <c r="AJ11" s="63" t="s">
        <v>365</v>
      </c>
      <c r="AL11" s="63" t="s">
        <v>144</v>
      </c>
    </row>
    <row r="12" spans="2:38" ht="35.5" customHeight="1" x14ac:dyDescent="0.3">
      <c r="B12" s="60">
        <v>1</v>
      </c>
      <c r="C12" s="60" t="s">
        <v>412</v>
      </c>
      <c r="F12" s="70" t="s">
        <v>20</v>
      </c>
      <c r="G12" s="70" t="s">
        <v>14</v>
      </c>
      <c r="H12" s="77">
        <v>0.33500000000000002</v>
      </c>
      <c r="I12" s="78">
        <v>0.95</v>
      </c>
      <c r="J12" s="79">
        <v>176839.57453764943</v>
      </c>
      <c r="K12" s="80">
        <v>768.02</v>
      </c>
      <c r="L12" s="81">
        <f>IFERROR(K12/(8.76*H12),0)</f>
        <v>261.71198800517959</v>
      </c>
      <c r="M12" s="81">
        <f>IFERROR(L12*I12,"--")</f>
        <v>248.62638860492061</v>
      </c>
      <c r="N12" s="77">
        <v>0.3</v>
      </c>
      <c r="O12" s="81">
        <f>N12*الخسارة!$F$6</f>
        <v>15.639000000000031</v>
      </c>
      <c r="P12" s="81">
        <f>K12+O12</f>
        <v>783.65899999999999</v>
      </c>
      <c r="Q12" s="81">
        <f>IFERROR(P12/(8.76*H12),"--")</f>
        <v>267.04116404279966</v>
      </c>
      <c r="R12" s="81">
        <f>IFERROR(Q12*I12,0)</f>
        <v>253.68910584065966</v>
      </c>
      <c r="S12" s="81">
        <f>IFERROR(IF(G12="LV",الخسارة!$F$36*العميل!P12/الخسارة!$F$37,IF(G12="MV",الخسارة!$F$30*العميل!P12/الخسارة!$F$31,الخسارة!$F$24*العميل!P12/الخسارة!$F$25)),0)</f>
        <v>72.435585615732492</v>
      </c>
      <c r="T12" s="81">
        <f>P12+S12</f>
        <v>856.09458561573251</v>
      </c>
      <c r="U12" s="81">
        <f>IFERROR(IF(G12="LV",الخسارة!$Q$36*العميل!R12/الخسارة!$Q$37,IF(G12="MV",الخسارة!$Q$30*العميل!R12/الخسارة!$Q$31,الخسارة!$Q$24*العميل!R12/الخسارة!$Q$25)),0)</f>
        <v>27.358810971578631</v>
      </c>
      <c r="V12" s="81">
        <f>R12+U12</f>
        <v>281.04791681223827</v>
      </c>
      <c r="W12" s="81">
        <f>T12-K12</f>
        <v>88.074585615732531</v>
      </c>
      <c r="X12" s="82">
        <f>IFERROR(W12/T12,0)</f>
        <v>0.10287950314787504</v>
      </c>
      <c r="Y12" s="81"/>
      <c r="Z12" s="81">
        <f>IFERROR(L12/J12*1000,0)</f>
        <v>1.4799401586971173</v>
      </c>
      <c r="AA12" s="83">
        <v>10657.823333333334</v>
      </c>
      <c r="AB12" s="84">
        <f>J12*AA12/10^6</f>
        <v>1884.7249437640994</v>
      </c>
      <c r="AC12" s="81"/>
      <c r="AD12" s="80">
        <v>211.47521511481253</v>
      </c>
      <c r="AE12" s="80">
        <v>7.9418337599999198</v>
      </c>
      <c r="AF12" s="80">
        <v>0</v>
      </c>
      <c r="AG12" s="81">
        <f>AD12+AE12+AF12</f>
        <v>219.41704887481245</v>
      </c>
      <c r="AJ12" s="60" t="s">
        <v>161</v>
      </c>
      <c r="AL12" s="60" t="s">
        <v>310</v>
      </c>
    </row>
    <row r="13" spans="2:38" ht="35.5" customHeight="1" x14ac:dyDescent="0.3">
      <c r="B13" s="60">
        <v>2</v>
      </c>
      <c r="C13" s="60" t="s">
        <v>413</v>
      </c>
      <c r="F13" s="70" t="s">
        <v>20</v>
      </c>
      <c r="G13" s="70" t="s">
        <v>14</v>
      </c>
      <c r="H13" s="77">
        <v>0.4</v>
      </c>
      <c r="I13" s="78">
        <v>0.1</v>
      </c>
      <c r="J13" s="79">
        <v>1712.7674844635237</v>
      </c>
      <c r="K13" s="80">
        <v>44.7408</v>
      </c>
      <c r="L13" s="81">
        <f t="shared" ref="L13:L42" si="0">IFERROR(K13/(8.76*H13),0)</f>
        <v>12.768493150684932</v>
      </c>
      <c r="M13" s="81">
        <f t="shared" ref="M13:M40" si="1">IFERROR(L13*I13,"--")</f>
        <v>1.2768493150684934</v>
      </c>
      <c r="N13" s="77">
        <v>7.0000000000000007E-2</v>
      </c>
      <c r="O13" s="81">
        <f>N13*الخسارة!$F$6</f>
        <v>3.6491000000000078</v>
      </c>
      <c r="P13" s="81">
        <f t="shared" ref="P13:P40" si="2">K13+O13</f>
        <v>48.389900000000011</v>
      </c>
      <c r="Q13" s="81">
        <f t="shared" ref="Q13:Q40" si="3">IFERROR(P13/(8.76*H13),"--")</f>
        <v>13.809902968036534</v>
      </c>
      <c r="R13" s="81">
        <f t="shared" ref="R13:R41" si="4">IFERROR(Q13*I13,0)</f>
        <v>1.3809902968036534</v>
      </c>
      <c r="S13" s="81">
        <f>IFERROR(IF(G13="LV",الخسارة!$F$36*العميل!P13/الخسارة!$F$37,IF(G13="MV",الخسارة!$F$30*العميل!P13/الخسارة!$F$31,الخسارة!$F$24*العميل!P13/الخسارة!$F$25)),0)</f>
        <v>4.4728009815324459</v>
      </c>
      <c r="T13" s="81">
        <f t="shared" ref="T13:T42" si="5">P13+S13</f>
        <v>52.862700981532456</v>
      </c>
      <c r="U13" s="81">
        <f>IFERROR(IF(G13="LV",الخسارة!$Q$36*العميل!R13/الخسارة!$Q$37,IF(G13="MV",الخسارة!$Q$30*العميل!R13/الخسارة!$Q$31,الخسارة!$Q$24*العميل!R13/الخسارة!$Q$25)),0)</f>
        <v>0.14893131637889956</v>
      </c>
      <c r="V13" s="81">
        <f t="shared" ref="V13:V42" si="6">R13+U13</f>
        <v>1.529921613182553</v>
      </c>
      <c r="W13" s="81">
        <f t="shared" ref="W13:W41" si="7">T13-K13</f>
        <v>8.1219009815324554</v>
      </c>
      <c r="X13" s="82">
        <f t="shared" ref="X13:X41" si="8">IFERROR(W13/T13,0)</f>
        <v>0.15364143017152748</v>
      </c>
      <c r="Y13" s="81"/>
      <c r="Z13" s="81">
        <f t="shared" ref="Z13:Z42" si="9">IFERROR(L13/J13*1000,0)</f>
        <v>7.4548899757308877</v>
      </c>
      <c r="AA13" s="83">
        <v>313572.23021999985</v>
      </c>
      <c r="AB13" s="84">
        <f t="shared" ref="AB13:AB42" si="10">J13*AA13/10^6</f>
        <v>537.0763199515261</v>
      </c>
      <c r="AC13" s="81"/>
      <c r="AD13" s="80">
        <v>23.064351472799984</v>
      </c>
      <c r="AE13" s="80">
        <v>0.56297043600001595</v>
      </c>
      <c r="AF13" s="80">
        <v>0</v>
      </c>
      <c r="AG13" s="81">
        <f t="shared" ref="AG13:AG42" si="11">AD13+AE13+AF13</f>
        <v>23.627321908799999</v>
      </c>
      <c r="AJ13" s="60" t="s">
        <v>172</v>
      </c>
      <c r="AL13" s="60" t="s">
        <v>339</v>
      </c>
    </row>
    <row r="14" spans="2:38" ht="35.5" customHeight="1" x14ac:dyDescent="0.3">
      <c r="B14" s="60">
        <v>3</v>
      </c>
      <c r="C14" s="60" t="s">
        <v>414</v>
      </c>
      <c r="F14" s="70" t="s">
        <v>20</v>
      </c>
      <c r="G14" s="70" t="s">
        <v>14</v>
      </c>
      <c r="H14" s="77">
        <v>0.4</v>
      </c>
      <c r="I14" s="78">
        <v>0.1</v>
      </c>
      <c r="J14" s="79">
        <v>655.52318865899611</v>
      </c>
      <c r="K14" s="80">
        <v>1.7280000000000002</v>
      </c>
      <c r="L14" s="81">
        <f t="shared" si="0"/>
        <v>0.49315068493150693</v>
      </c>
      <c r="M14" s="81">
        <f t="shared" si="1"/>
        <v>4.9315068493150697E-2</v>
      </c>
      <c r="N14" s="77">
        <v>7.0000000000000007E-2</v>
      </c>
      <c r="O14" s="81">
        <f>N14*الخسارة!$F$6</f>
        <v>3.6491000000000078</v>
      </c>
      <c r="P14" s="81">
        <f t="shared" si="2"/>
        <v>5.3771000000000075</v>
      </c>
      <c r="Q14" s="81">
        <f t="shared" si="3"/>
        <v>1.5345605022831073</v>
      </c>
      <c r="R14" s="81">
        <f t="shared" si="4"/>
        <v>0.15345605022831074</v>
      </c>
      <c r="S14" s="81">
        <f>IFERROR(IF(G14="LV",الخسارة!$F$36*العميل!P14/الخسارة!$F$37,IF(G14="MV",الخسارة!$F$30*العميل!P14/الخسارة!$F$31,الخسارة!$F$24*العميل!P14/الخسارة!$F$25)),0)</f>
        <v>0.49701896796228434</v>
      </c>
      <c r="T14" s="81">
        <f t="shared" si="5"/>
        <v>5.8741189679622918</v>
      </c>
      <c r="U14" s="81">
        <f>IFERROR(IF(G14="LV",الخسارة!$Q$36*العميل!R14/الخسارة!$Q$37,IF(G14="MV",الخسارة!$Q$30*العميل!R14/الخسارة!$Q$31,الخسارة!$Q$24*العميل!R14/الخسارة!$Q$25)),0)</f>
        <v>1.6549291924574792E-2</v>
      </c>
      <c r="V14" s="81">
        <f t="shared" si="6"/>
        <v>0.17000534215288554</v>
      </c>
      <c r="W14" s="81">
        <f t="shared" si="7"/>
        <v>4.1461189679622912</v>
      </c>
      <c r="X14" s="82">
        <f t="shared" si="8"/>
        <v>0.70582822557313019</v>
      </c>
      <c r="Y14" s="81"/>
      <c r="Z14" s="81">
        <f t="shared" si="9"/>
        <v>0.75230090020208951</v>
      </c>
      <c r="AA14" s="83">
        <v>313572.23021999985</v>
      </c>
      <c r="AB14" s="84">
        <f t="shared" si="10"/>
        <v>205.55386822872714</v>
      </c>
      <c r="AC14" s="81"/>
      <c r="AD14" s="80">
        <v>0.69431661439999992</v>
      </c>
      <c r="AE14" s="80">
        <v>2.3056608000000121E-2</v>
      </c>
      <c r="AF14" s="80">
        <v>0</v>
      </c>
      <c r="AG14" s="81">
        <f t="shared" si="11"/>
        <v>0.71737322240000001</v>
      </c>
      <c r="AL14" s="60" t="s">
        <v>294</v>
      </c>
    </row>
    <row r="15" spans="2:38" ht="35.5" customHeight="1" x14ac:dyDescent="0.3">
      <c r="B15" s="60">
        <v>4</v>
      </c>
      <c r="C15" s="60" t="s">
        <v>415</v>
      </c>
      <c r="F15" s="70" t="s">
        <v>20</v>
      </c>
      <c r="G15" s="70" t="s">
        <v>14</v>
      </c>
      <c r="H15" s="77">
        <v>0.45</v>
      </c>
      <c r="I15" s="78">
        <v>0.2</v>
      </c>
      <c r="J15" s="79">
        <v>13351.377467741533</v>
      </c>
      <c r="K15" s="80">
        <v>171.17179943713748</v>
      </c>
      <c r="L15" s="81">
        <f t="shared" si="0"/>
        <v>43.422577229106409</v>
      </c>
      <c r="M15" s="81">
        <f t="shared" si="1"/>
        <v>8.6845154458212814</v>
      </c>
      <c r="N15" s="77">
        <v>0.26</v>
      </c>
      <c r="O15" s="81">
        <f>N15*الخسارة!$F$6</f>
        <v>13.553800000000029</v>
      </c>
      <c r="P15" s="81">
        <f t="shared" si="2"/>
        <v>184.7255994371375</v>
      </c>
      <c r="Q15" s="81">
        <f t="shared" si="3"/>
        <v>46.860882657822806</v>
      </c>
      <c r="R15" s="81">
        <f t="shared" si="4"/>
        <v>9.3721765315645609</v>
      </c>
      <c r="S15" s="81">
        <f>IFERROR(IF(G15="LV",الخسارة!$F$36*العميل!P15/الخسارة!$F$37,IF(G15="MV",الخسارة!$F$30*العميل!P15/الخسارة!$F$31,الخسارة!$F$24*العميل!P15/الخسارة!$F$25)),0)</f>
        <v>17.074654886176614</v>
      </c>
      <c r="T15" s="81">
        <f t="shared" si="5"/>
        <v>201.80025432331411</v>
      </c>
      <c r="U15" s="81">
        <f>IFERROR(IF(G15="LV",الخسارة!$Q$36*العميل!R15/الخسارة!$Q$37,IF(G15="MV",الخسارة!$Q$30*العميل!R15/الخسارة!$Q$31,الخسارة!$Q$24*العميل!R15/الخسارة!$Q$25)),0)</f>
        <v>1.0107316404843594</v>
      </c>
      <c r="V15" s="81">
        <f t="shared" si="6"/>
        <v>10.38290817204892</v>
      </c>
      <c r="W15" s="81">
        <f t="shared" si="7"/>
        <v>30.628454886176627</v>
      </c>
      <c r="X15" s="82">
        <f t="shared" si="8"/>
        <v>0.15177609656083621</v>
      </c>
      <c r="Y15" s="81"/>
      <c r="Z15" s="81">
        <f t="shared" si="9"/>
        <v>3.2522919327253206</v>
      </c>
      <c r="AA15" s="83">
        <v>10657.823333333334</v>
      </c>
      <c r="AB15" s="84">
        <f t="shared" si="10"/>
        <v>142.29662230783663</v>
      </c>
      <c r="AC15" s="81"/>
      <c r="AD15" s="80">
        <v>89.468985711391781</v>
      </c>
      <c r="AE15" s="80">
        <v>2.94592618000009</v>
      </c>
      <c r="AF15" s="80">
        <v>0</v>
      </c>
      <c r="AG15" s="81">
        <f t="shared" si="11"/>
        <v>92.414911891391867</v>
      </c>
    </row>
    <row r="16" spans="2:38" ht="35.5" customHeight="1" x14ac:dyDescent="0.3">
      <c r="B16" s="60">
        <v>5</v>
      </c>
      <c r="C16" s="60" t="s">
        <v>416</v>
      </c>
      <c r="F16" s="70" t="s">
        <v>20</v>
      </c>
      <c r="G16" s="70" t="s">
        <v>14</v>
      </c>
      <c r="H16" s="77">
        <v>0.45</v>
      </c>
      <c r="I16" s="78">
        <v>0.2</v>
      </c>
      <c r="J16" s="79">
        <v>1821.2282177352934</v>
      </c>
      <c r="K16" s="80">
        <v>326.84869048302801</v>
      </c>
      <c r="L16" s="81">
        <f t="shared" si="0"/>
        <v>82.914431883061383</v>
      </c>
      <c r="M16" s="81">
        <f t="shared" si="1"/>
        <v>16.582886376612276</v>
      </c>
      <c r="N16" s="77">
        <v>0.2</v>
      </c>
      <c r="O16" s="81">
        <f>N16*الخسارة!$F$6</f>
        <v>10.426000000000023</v>
      </c>
      <c r="P16" s="81">
        <f t="shared" si="2"/>
        <v>337.27469048302805</v>
      </c>
      <c r="Q16" s="81">
        <f t="shared" si="3"/>
        <v>85.559282212843243</v>
      </c>
      <c r="R16" s="81">
        <f t="shared" si="4"/>
        <v>17.111856442568648</v>
      </c>
      <c r="S16" s="81">
        <f>IFERROR(IF(G16="LV",الخسارة!$F$36*العميل!P16/الخسارة!$F$37,IF(G16="MV",الخسارة!$F$30*العميل!P16/الخسارة!$F$31,الخسارة!$F$24*العميل!P16/الخسارة!$F$25)),0)</f>
        <v>31.17515362996285</v>
      </c>
      <c r="T16" s="81">
        <f t="shared" si="5"/>
        <v>368.44984411299089</v>
      </c>
      <c r="U16" s="81">
        <f>IFERROR(IF(G16="LV",الخسارة!$Q$36*العميل!R16/الخسارة!$Q$37,IF(G16="MV",الخسارة!$Q$30*العميل!R16/الخسارة!$Q$31,الخسارة!$Q$24*العميل!R16/الخسارة!$Q$25)),0)</f>
        <v>1.845408553251292</v>
      </c>
      <c r="V16" s="81">
        <f t="shared" si="6"/>
        <v>18.957264995819941</v>
      </c>
      <c r="W16" s="81">
        <f t="shared" si="7"/>
        <v>41.60115362996288</v>
      </c>
      <c r="X16" s="82">
        <f t="shared" si="8"/>
        <v>0.11290859338023017</v>
      </c>
      <c r="Y16" s="81"/>
      <c r="Z16" s="81">
        <f t="shared" si="9"/>
        <v>45.52665672299208</v>
      </c>
      <c r="AA16" s="83">
        <v>367027.71378823533</v>
      </c>
      <c r="AB16" s="84">
        <f t="shared" si="10"/>
        <v>668.44122904200719</v>
      </c>
      <c r="AC16" s="81"/>
      <c r="AD16" s="80">
        <v>108.20891992783322</v>
      </c>
      <c r="AE16" s="80">
        <v>0.53920870999999704</v>
      </c>
      <c r="AF16" s="80">
        <v>57.73704274</v>
      </c>
      <c r="AG16" s="81">
        <f t="shared" si="11"/>
        <v>166.48517137783321</v>
      </c>
    </row>
    <row r="17" spans="2:33" ht="35.5" customHeight="1" x14ac:dyDescent="0.3">
      <c r="B17" s="60">
        <v>6</v>
      </c>
      <c r="C17" s="60" t="s">
        <v>417</v>
      </c>
      <c r="F17" s="70" t="s">
        <v>20</v>
      </c>
      <c r="G17" s="70" t="s">
        <v>13</v>
      </c>
      <c r="H17" s="77">
        <v>0.5</v>
      </c>
      <c r="I17" s="78">
        <v>0.2</v>
      </c>
      <c r="J17" s="79">
        <v>2569.1512266952855</v>
      </c>
      <c r="K17" s="80">
        <v>234.88919999999999</v>
      </c>
      <c r="L17" s="81">
        <f t="shared" si="0"/>
        <v>53.627671232876708</v>
      </c>
      <c r="M17" s="81">
        <f t="shared" si="1"/>
        <v>10.725534246575343</v>
      </c>
      <c r="N17" s="77">
        <v>0.04</v>
      </c>
      <c r="O17" s="81">
        <f>N17*الخسارة!$F$6</f>
        <v>2.0852000000000044</v>
      </c>
      <c r="P17" s="81">
        <f t="shared" si="2"/>
        <v>236.9744</v>
      </c>
      <c r="Q17" s="81">
        <f t="shared" si="3"/>
        <v>54.103744292237444</v>
      </c>
      <c r="R17" s="81">
        <f t="shared" si="4"/>
        <v>10.820748858447489</v>
      </c>
      <c r="S17" s="81">
        <f>IFERROR(IF(G17="LV",الخسارة!$F$36*العميل!P17/الخسارة!$F$37,IF(G17="MV",الخسارة!$F$30*العميل!P17/الخسارة!$F$31,الخسارة!$F$24*العميل!P17/الخسارة!$F$25)),0)</f>
        <v>37.770045492028977</v>
      </c>
      <c r="T17" s="81">
        <f t="shared" si="5"/>
        <v>274.744445492029</v>
      </c>
      <c r="U17" s="81">
        <f>IFERROR(IF(G17="LV",الخسارة!$Q$36*العميل!R17/الخسارة!$Q$37,IF(G17="MV",الخسارة!$Q$30*العميل!R17/الخسارة!$Q$31,الخسارة!$Q$24*العميل!R17/الخسارة!$Q$25)),0)</f>
        <v>6.8051088844181384</v>
      </c>
      <c r="V17" s="81">
        <f t="shared" si="6"/>
        <v>17.625857742865627</v>
      </c>
      <c r="W17" s="81">
        <f t="shared" si="7"/>
        <v>39.855245492029013</v>
      </c>
      <c r="X17" s="82">
        <f t="shared" si="8"/>
        <v>0.14506297086608547</v>
      </c>
      <c r="Y17" s="81"/>
      <c r="Z17" s="81">
        <f t="shared" si="9"/>
        <v>20.873691932046484</v>
      </c>
      <c r="AA17" s="83">
        <v>7714197.1670588236</v>
      </c>
      <c r="AB17" s="84">
        <f t="shared" si="10"/>
        <v>19818.939114718472</v>
      </c>
      <c r="AC17" s="81"/>
      <c r="AD17" s="80">
        <v>123.19898436719997</v>
      </c>
      <c r="AE17" s="80">
        <v>0.84445565400002398</v>
      </c>
      <c r="AF17" s="80">
        <v>0</v>
      </c>
      <c r="AG17" s="81">
        <f t="shared" si="11"/>
        <v>124.0434400212</v>
      </c>
    </row>
    <row r="18" spans="2:33" ht="35.5" customHeight="1" x14ac:dyDescent="0.3">
      <c r="B18" s="60">
        <v>7</v>
      </c>
      <c r="C18" s="60" t="s">
        <v>418</v>
      </c>
      <c r="F18" s="70" t="s">
        <v>20</v>
      </c>
      <c r="G18" s="70" t="s">
        <v>13</v>
      </c>
      <c r="H18" s="77">
        <v>0.5</v>
      </c>
      <c r="I18" s="78">
        <v>0.2</v>
      </c>
      <c r="J18" s="79">
        <v>1529.5541068709911</v>
      </c>
      <c r="K18" s="80">
        <v>9.072000000000001</v>
      </c>
      <c r="L18" s="81">
        <f t="shared" si="0"/>
        <v>2.0712328767123291</v>
      </c>
      <c r="M18" s="81">
        <f t="shared" si="1"/>
        <v>0.41424657534246584</v>
      </c>
      <c r="N18" s="77">
        <v>0.04</v>
      </c>
      <c r="O18" s="81">
        <f>N18*الخسارة!$F$6</f>
        <v>2.0852000000000044</v>
      </c>
      <c r="P18" s="81">
        <f t="shared" si="2"/>
        <v>11.157200000000005</v>
      </c>
      <c r="Q18" s="81">
        <f t="shared" si="3"/>
        <v>2.5473059360730606</v>
      </c>
      <c r="R18" s="81">
        <f t="shared" si="4"/>
        <v>0.50946118721461209</v>
      </c>
      <c r="S18" s="81">
        <f>IFERROR(IF(G18="LV",الخسارة!$F$36*العميل!P18/الخسارة!$F$37,IF(G18="MV",الخسارة!$F$30*العميل!P18/الخسارة!$F$31,الخسارة!$F$24*العميل!P18/الخسارة!$F$25)),0)</f>
        <v>1.7782847073931443</v>
      </c>
      <c r="T18" s="81">
        <f t="shared" si="5"/>
        <v>12.935484707393149</v>
      </c>
      <c r="U18" s="81">
        <f>IFERROR(IF(G18="LV",الخسارة!$Q$36*العميل!R18/الخسارة!$Q$37,IF(G18="MV",الخسارة!$Q$30*العميل!R18/الخسارة!$Q$31,الخسارة!$Q$24*العميل!R18/الخسارة!$Q$25)),0)</f>
        <v>0.32039731230559115</v>
      </c>
      <c r="V18" s="81">
        <f t="shared" si="6"/>
        <v>0.82985849952020319</v>
      </c>
      <c r="W18" s="81">
        <f t="shared" si="7"/>
        <v>3.8634847073931482</v>
      </c>
      <c r="X18" s="82">
        <f t="shared" si="8"/>
        <v>0.29867336205693257</v>
      </c>
      <c r="Y18" s="81"/>
      <c r="Z18" s="81">
        <f t="shared" si="9"/>
        <v>1.3541416203637611</v>
      </c>
      <c r="AA18" s="83">
        <v>7714197.1670588236</v>
      </c>
      <c r="AB18" s="84">
        <f t="shared" si="10"/>
        <v>11799.281958087389</v>
      </c>
      <c r="AC18" s="81"/>
      <c r="AD18" s="80">
        <v>3.7124106655999998</v>
      </c>
      <c r="AE18" s="80">
        <v>5.3798752000000276E-2</v>
      </c>
      <c r="AF18" s="80">
        <v>0</v>
      </c>
      <c r="AG18" s="81">
        <f t="shared" si="11"/>
        <v>3.7662094175999998</v>
      </c>
    </row>
    <row r="19" spans="2:33" ht="35.5" customHeight="1" x14ac:dyDescent="0.3">
      <c r="B19" s="60">
        <v>8</v>
      </c>
      <c r="C19" s="60" t="s">
        <v>419</v>
      </c>
      <c r="F19" s="70" t="s">
        <v>20</v>
      </c>
      <c r="G19" s="70" t="s">
        <v>13</v>
      </c>
      <c r="H19" s="77">
        <v>0.55000000000000004</v>
      </c>
      <c r="I19" s="78">
        <v>0.2</v>
      </c>
      <c r="J19" s="79">
        <v>128.88386951855642</v>
      </c>
      <c r="K19" s="80">
        <v>236.57951007983462</v>
      </c>
      <c r="L19" s="81">
        <f t="shared" si="0"/>
        <v>49.10326070565268</v>
      </c>
      <c r="M19" s="81">
        <f t="shared" si="1"/>
        <v>9.8206521411305374</v>
      </c>
      <c r="N19" s="77">
        <v>0.02</v>
      </c>
      <c r="O19" s="81">
        <f>N19*الخسارة!$F$6</f>
        <v>1.0426000000000022</v>
      </c>
      <c r="P19" s="81">
        <f t="shared" si="2"/>
        <v>237.62211007983461</v>
      </c>
      <c r="Q19" s="81">
        <f t="shared" si="3"/>
        <v>49.319657550816643</v>
      </c>
      <c r="R19" s="81">
        <f t="shared" si="4"/>
        <v>9.8639315101633294</v>
      </c>
      <c r="S19" s="81">
        <f>IFERROR(IF(G19="LV",الخسارة!$F$36*العميل!P19/الخسارة!$F$37,IF(G19="MV",الخسارة!$F$30*العميل!P19/الخسارة!$F$31,الخسارة!$F$24*العميل!P19/الخسارة!$F$25)),0)</f>
        <v>37.873280437158073</v>
      </c>
      <c r="T19" s="81">
        <f t="shared" si="5"/>
        <v>275.4953905169927</v>
      </c>
      <c r="U19" s="81">
        <f>IFERROR(IF(G19="LV",الخسارة!$Q$36*العميل!R19/الخسارة!$Q$37,IF(G19="MV",الخسارة!$Q$30*العميل!R19/الخسارة!$Q$31,الخسارة!$Q$24*العميل!R19/الخسارة!$Q$25)),0)</f>
        <v>6.2033717659662324</v>
      </c>
      <c r="V19" s="81">
        <f t="shared" si="6"/>
        <v>16.067303276129561</v>
      </c>
      <c r="W19" s="81">
        <f t="shared" si="7"/>
        <v>38.91588043715808</v>
      </c>
      <c r="X19" s="82">
        <f t="shared" si="8"/>
        <v>0.14125782781384769</v>
      </c>
      <c r="Y19" s="81"/>
      <c r="Z19" s="81">
        <f t="shared" si="9"/>
        <v>380.98841142089469</v>
      </c>
      <c r="AA19" s="83">
        <v>7714197.1670588236</v>
      </c>
      <c r="AB19" s="84">
        <f t="shared" si="10"/>
        <v>994.235581119627</v>
      </c>
      <c r="AC19" s="81"/>
      <c r="AD19" s="80">
        <v>68.413741435962521</v>
      </c>
      <c r="AE19" s="80">
        <v>3.7410230000000003E-2</v>
      </c>
      <c r="AF19" s="80">
        <v>34.815405429999998</v>
      </c>
      <c r="AG19" s="81">
        <f t="shared" si="11"/>
        <v>103.26655709596253</v>
      </c>
    </row>
    <row r="20" spans="2:33" ht="35.5" customHeight="1" x14ac:dyDescent="0.3">
      <c r="B20" s="60">
        <v>9</v>
      </c>
      <c r="C20" s="60" t="s">
        <v>420</v>
      </c>
      <c r="F20" s="70" t="s">
        <v>20</v>
      </c>
      <c r="G20" s="70" t="s">
        <v>12</v>
      </c>
      <c r="H20" s="77">
        <v>0.82</v>
      </c>
      <c r="I20" s="78">
        <v>0.85</v>
      </c>
      <c r="J20" s="79">
        <v>1</v>
      </c>
      <c r="K20" s="80">
        <v>183.89362770408619</v>
      </c>
      <c r="L20" s="81">
        <f t="shared" si="0"/>
        <v>25.600516163281853</v>
      </c>
      <c r="M20" s="81">
        <f t="shared" si="1"/>
        <v>21.760438738789574</v>
      </c>
      <c r="N20" s="77">
        <v>0</v>
      </c>
      <c r="O20" s="81">
        <f>N20*الخسارة!$F$6</f>
        <v>0</v>
      </c>
      <c r="P20" s="81">
        <f t="shared" si="2"/>
        <v>183.89362770408619</v>
      </c>
      <c r="Q20" s="81">
        <f t="shared" si="3"/>
        <v>25.600516163281853</v>
      </c>
      <c r="R20" s="81">
        <f t="shared" si="4"/>
        <v>21.760438738789574</v>
      </c>
      <c r="S20" s="81">
        <f>IFERROR(IF(G20="LV",الخسارة!$F$36*العميل!P20/الخسارة!$F$37,IF(G20="MV",الخسارة!$F$30*العميل!P20/الخسارة!$F$31,الخسارة!$F$24*العميل!P20/الخسارة!$F$25)),0)</f>
        <v>20.435551608824071</v>
      </c>
      <c r="T20" s="81">
        <f t="shared" si="5"/>
        <v>204.32917931291024</v>
      </c>
      <c r="U20" s="81">
        <f>IFERROR(IF(G20="LV",الخسارة!$Q$36*العميل!R20/الخسارة!$Q$37,IF(G20="MV",الخسارة!$Q$30*العميل!R20/الخسارة!$Q$31,الخسارة!$Q$24*العميل!R20/الخسارة!$Q$25)),0)</f>
        <v>3.5890393846262696</v>
      </c>
      <c r="V20" s="81">
        <f t="shared" si="6"/>
        <v>25.349478123415842</v>
      </c>
      <c r="W20" s="81">
        <f t="shared" si="7"/>
        <v>20.435551608824056</v>
      </c>
      <c r="X20" s="82">
        <f t="shared" si="8"/>
        <v>0.10001288938536282</v>
      </c>
      <c r="Y20" s="81"/>
      <c r="Z20" s="81">
        <f t="shared" si="9"/>
        <v>25600.516163281853</v>
      </c>
      <c r="AA20" s="83">
        <v>0</v>
      </c>
      <c r="AB20" s="84">
        <f t="shared" si="10"/>
        <v>0</v>
      </c>
      <c r="AC20" s="81"/>
      <c r="AD20" s="80">
        <v>35.140134370000006</v>
      </c>
      <c r="AE20" s="80">
        <v>3.2266E-4</v>
      </c>
      <c r="AF20" s="80">
        <v>18.255563679999998</v>
      </c>
      <c r="AG20" s="81">
        <f t="shared" si="11"/>
        <v>53.396020710000002</v>
      </c>
    </row>
    <row r="21" spans="2:33" ht="35.5" customHeight="1" x14ac:dyDescent="0.3">
      <c r="B21" s="60">
        <v>10</v>
      </c>
      <c r="C21" s="60" t="s">
        <v>421</v>
      </c>
      <c r="F21" s="70" t="s">
        <v>21</v>
      </c>
      <c r="G21" s="70" t="s">
        <v>12</v>
      </c>
      <c r="H21" s="77">
        <v>0.82</v>
      </c>
      <c r="I21" s="78">
        <v>0.85</v>
      </c>
      <c r="J21" s="79">
        <v>1</v>
      </c>
      <c r="K21" s="80">
        <v>10.989021632689397</v>
      </c>
      <c r="L21" s="81">
        <f t="shared" si="0"/>
        <v>1.5298225905848923</v>
      </c>
      <c r="M21" s="81">
        <f t="shared" si="1"/>
        <v>1.3003492019971585</v>
      </c>
      <c r="N21" s="77">
        <v>0</v>
      </c>
      <c r="O21" s="81">
        <f>N21*الخسارة!$F$6</f>
        <v>0</v>
      </c>
      <c r="P21" s="81">
        <f t="shared" si="2"/>
        <v>10.989021632689397</v>
      </c>
      <c r="Q21" s="81">
        <f t="shared" si="3"/>
        <v>1.5298225905848923</v>
      </c>
      <c r="R21" s="81">
        <f t="shared" si="4"/>
        <v>1.3003492019971585</v>
      </c>
      <c r="S21" s="81">
        <f>IFERROR(IF(G21="LV",الخسارة!$F$36*العميل!P21/الخسارة!$F$37,IF(G21="MV",الخسارة!$F$30*العميل!P21/الخسارة!$F$31,الخسارة!$F$24*العميل!P21/الخسارة!$F$25)),0)</f>
        <v>1.2211772724755399</v>
      </c>
      <c r="T21" s="81">
        <f t="shared" si="5"/>
        <v>12.210198905164937</v>
      </c>
      <c r="U21" s="81">
        <f>IFERROR(IF(G21="LV",الخسارة!$Q$36*العميل!R21/الخسارة!$Q$37,IF(G21="MV",الخسارة!$Q$30*العميل!R21/الخسارة!$Q$31,الخسارة!$Q$24*العميل!R21/الخسارة!$Q$25)),0)</f>
        <v>0.21447198541157472</v>
      </c>
      <c r="V21" s="81">
        <f t="shared" si="6"/>
        <v>1.5148211874087332</v>
      </c>
      <c r="W21" s="81">
        <f t="shared" si="7"/>
        <v>1.2211772724755399</v>
      </c>
      <c r="X21" s="82">
        <f t="shared" si="8"/>
        <v>0.10001288938536289</v>
      </c>
      <c r="Y21" s="81"/>
      <c r="Z21" s="81">
        <f t="shared" si="9"/>
        <v>1529.8225905848924</v>
      </c>
      <c r="AA21" s="83">
        <v>0</v>
      </c>
      <c r="AB21" s="84">
        <f t="shared" si="10"/>
        <v>0</v>
      </c>
      <c r="AC21" s="81"/>
      <c r="AD21" s="80">
        <v>2.1130684099999999</v>
      </c>
      <c r="AE21" s="80">
        <v>3.2266E-4</v>
      </c>
      <c r="AF21" s="80">
        <v>0.39679759999999997</v>
      </c>
      <c r="AG21" s="81">
        <f t="shared" si="11"/>
        <v>2.5101886699999998</v>
      </c>
    </row>
    <row r="22" spans="2:33" ht="35.5" customHeight="1" x14ac:dyDescent="0.3">
      <c r="B22" s="60">
        <v>11</v>
      </c>
      <c r="C22" s="60" t="s">
        <v>422</v>
      </c>
      <c r="F22" s="70" t="s">
        <v>20</v>
      </c>
      <c r="G22" s="70" t="s">
        <v>12</v>
      </c>
      <c r="H22" s="77">
        <v>0.82</v>
      </c>
      <c r="I22" s="78">
        <v>0.85</v>
      </c>
      <c r="J22" s="79">
        <v>1</v>
      </c>
      <c r="K22" s="80">
        <v>447.04019941244547</v>
      </c>
      <c r="L22" s="81">
        <f t="shared" si="0"/>
        <v>62.234129554021258</v>
      </c>
      <c r="M22" s="81">
        <f t="shared" si="1"/>
        <v>52.899010120918071</v>
      </c>
      <c r="N22" s="77">
        <v>0</v>
      </c>
      <c r="O22" s="81">
        <f>N22*الخسارة!$F$6</f>
        <v>0</v>
      </c>
      <c r="P22" s="81">
        <f t="shared" si="2"/>
        <v>447.04019941244547</v>
      </c>
      <c r="Q22" s="81">
        <f t="shared" si="3"/>
        <v>62.234129554021258</v>
      </c>
      <c r="R22" s="81">
        <f t="shared" si="4"/>
        <v>52.899010120918071</v>
      </c>
      <c r="S22" s="81">
        <f>IFERROR(IF(G22="LV",الخسارة!$F$36*العميل!P22/الخسارة!$F$37,IF(G22="MV",الخسارة!$F$30*العميل!P22/الخسارة!$F$31,الخسارة!$F$24*العميل!P22/الخسارة!$F$25)),0)</f>
        <v>49.67824704079748</v>
      </c>
      <c r="T22" s="81">
        <f t="shared" si="5"/>
        <v>496.71844645324296</v>
      </c>
      <c r="U22" s="81">
        <f>IFERROR(IF(G22="LV",الخسارة!$Q$36*العميل!R22/الخسارة!$Q$37,IF(G22="MV",الخسارة!$Q$30*العميل!R22/الخسارة!$Q$31,الخسارة!$Q$24*العميل!R22/الخسارة!$Q$25)),0)</f>
        <v>8.7248530698641318</v>
      </c>
      <c r="V22" s="81">
        <f t="shared" si="6"/>
        <v>61.623863190782203</v>
      </c>
      <c r="W22" s="81">
        <f t="shared" si="7"/>
        <v>49.678247040797487</v>
      </c>
      <c r="X22" s="82">
        <f t="shared" si="8"/>
        <v>0.10001288938536289</v>
      </c>
      <c r="Y22" s="81"/>
      <c r="Z22" s="81">
        <f t="shared" si="9"/>
        <v>62234.12955402126</v>
      </c>
      <c r="AA22" s="83">
        <v>0</v>
      </c>
      <c r="AB22" s="84">
        <f t="shared" si="10"/>
        <v>0</v>
      </c>
      <c r="AC22" s="81"/>
      <c r="AD22" s="80">
        <v>85.962127699999996</v>
      </c>
      <c r="AE22" s="80">
        <v>3.2266E-4</v>
      </c>
      <c r="AF22" s="80">
        <v>34.794530000000002</v>
      </c>
      <c r="AG22" s="81">
        <f t="shared" si="11"/>
        <v>120.75698036</v>
      </c>
    </row>
    <row r="23" spans="2:33" ht="35.5" customHeight="1" x14ac:dyDescent="0.3">
      <c r="B23" s="60">
        <v>12</v>
      </c>
      <c r="C23" s="60" t="s">
        <v>423</v>
      </c>
      <c r="F23" s="70" t="s">
        <v>21</v>
      </c>
      <c r="G23" s="70" t="s">
        <v>12</v>
      </c>
      <c r="H23" s="77">
        <v>0.82</v>
      </c>
      <c r="I23" s="78">
        <v>0.85</v>
      </c>
      <c r="J23" s="79">
        <v>1</v>
      </c>
      <c r="K23" s="80">
        <v>18.248375322709872</v>
      </c>
      <c r="L23" s="81">
        <f t="shared" si="0"/>
        <v>2.540424229133238</v>
      </c>
      <c r="M23" s="81">
        <f t="shared" si="1"/>
        <v>2.1593605947632524</v>
      </c>
      <c r="N23" s="77">
        <v>0</v>
      </c>
      <c r="O23" s="81">
        <f>N23*الخسارة!$F$6</f>
        <v>0</v>
      </c>
      <c r="P23" s="81">
        <f t="shared" si="2"/>
        <v>18.248375322709872</v>
      </c>
      <c r="Q23" s="81">
        <f t="shared" si="3"/>
        <v>2.540424229133238</v>
      </c>
      <c r="R23" s="81">
        <f t="shared" si="4"/>
        <v>2.1593605947632524</v>
      </c>
      <c r="S23" s="81">
        <f>IFERROR(IF(G23="LV",الخسارة!$F$36*العميل!P23/الخسارة!$F$37,IF(G23="MV",الخسارة!$F$30*العميل!P23/الخسارة!$F$31,الخسارة!$F$24*العميل!P23/الخسارة!$F$25)),0)</f>
        <v>2.0278876453756687</v>
      </c>
      <c r="T23" s="81">
        <f t="shared" si="5"/>
        <v>20.27626296808554</v>
      </c>
      <c r="U23" s="81">
        <f>IFERROR(IF(G23="LV",الخسارة!$Q$36*العميل!R23/الخسارة!$Q$37,IF(G23="MV",الخسارة!$Q$30*العميل!R23/الخسارة!$Q$31,الخسارة!$Q$24*العميل!R23/الخسارة!$Q$25)),0)</f>
        <v>0.35615229606562682</v>
      </c>
      <c r="V23" s="81">
        <f t="shared" si="6"/>
        <v>2.5155128908288793</v>
      </c>
      <c r="W23" s="81">
        <f t="shared" si="7"/>
        <v>2.0278876453756673</v>
      </c>
      <c r="X23" s="82">
        <f t="shared" si="8"/>
        <v>0.10001288938536282</v>
      </c>
      <c r="Y23" s="81"/>
      <c r="Z23" s="81">
        <f t="shared" si="9"/>
        <v>2540.424229133238</v>
      </c>
      <c r="AA23" s="83">
        <v>0</v>
      </c>
      <c r="AB23" s="84">
        <f t="shared" si="10"/>
        <v>0</v>
      </c>
      <c r="AC23" s="81"/>
      <c r="AD23" s="80">
        <v>4.9610360799999995</v>
      </c>
      <c r="AE23" s="80">
        <v>3.1443999999999998E-4</v>
      </c>
      <c r="AF23" s="80">
        <v>0</v>
      </c>
      <c r="AG23" s="81">
        <f t="shared" si="11"/>
        <v>4.9613505199999999</v>
      </c>
    </row>
    <row r="24" spans="2:33" ht="35.5" customHeight="1" x14ac:dyDescent="0.3">
      <c r="B24" s="60">
        <v>13</v>
      </c>
      <c r="C24" s="60" t="s">
        <v>424</v>
      </c>
      <c r="F24" s="70" t="s">
        <v>20</v>
      </c>
      <c r="G24" s="70" t="s">
        <v>13</v>
      </c>
      <c r="H24" s="77">
        <v>0.82</v>
      </c>
      <c r="I24" s="78">
        <v>0.85</v>
      </c>
      <c r="J24" s="79">
        <v>1</v>
      </c>
      <c r="K24" s="80">
        <v>39.896447965815007</v>
      </c>
      <c r="L24" s="81">
        <f t="shared" si="0"/>
        <v>5.5541329721871886</v>
      </c>
      <c r="M24" s="81">
        <f t="shared" si="1"/>
        <v>4.7210130263591106</v>
      </c>
      <c r="N24" s="77">
        <v>0</v>
      </c>
      <c r="O24" s="81">
        <f>N24*الخسارة!$F$6</f>
        <v>0</v>
      </c>
      <c r="P24" s="81">
        <f t="shared" si="2"/>
        <v>39.896447965815007</v>
      </c>
      <c r="Q24" s="81">
        <f t="shared" si="3"/>
        <v>5.5541329721871886</v>
      </c>
      <c r="R24" s="81">
        <f t="shared" si="4"/>
        <v>4.7210130263591106</v>
      </c>
      <c r="S24" s="81">
        <f>IFERROR(IF(G24="LV",الخسارة!$F$36*العميل!P24/الخسارة!$F$37,IF(G24="MV",الخسارة!$F$30*العميل!P24/الخسارة!$F$31,الخسارة!$F$24*العميل!P24/الخسارة!$F$25)),0)</f>
        <v>6.3588752820524066</v>
      </c>
      <c r="T24" s="81">
        <f t="shared" si="5"/>
        <v>46.255323247867416</v>
      </c>
      <c r="U24" s="81">
        <f>IFERROR(IF(G24="LV",الخسارة!$Q$36*العميل!R24/الخسارة!$Q$37,IF(G24="MV",الخسارة!$Q$30*العميل!R24/الخسارة!$Q$31,الخسارة!$Q$24*العميل!R24/الخسارة!$Q$25)),0)</f>
        <v>2.9690188830183772</v>
      </c>
      <c r="V24" s="81">
        <f t="shared" si="6"/>
        <v>7.6900319093774883</v>
      </c>
      <c r="W24" s="81">
        <f t="shared" si="7"/>
        <v>6.3588752820524093</v>
      </c>
      <c r="X24" s="82">
        <f t="shared" si="8"/>
        <v>0.13747337248033573</v>
      </c>
      <c r="Y24" s="81"/>
      <c r="Z24" s="81">
        <f t="shared" si="9"/>
        <v>5554.1329721871889</v>
      </c>
      <c r="AA24" s="83">
        <v>0</v>
      </c>
      <c r="AB24" s="84">
        <f t="shared" si="10"/>
        <v>0</v>
      </c>
      <c r="AC24" s="81"/>
      <c r="AD24" s="80">
        <v>7.6681223999999997</v>
      </c>
      <c r="AE24" s="80">
        <v>3.2414999999999999E-4</v>
      </c>
      <c r="AF24" s="80">
        <v>3.2576339999999999</v>
      </c>
      <c r="AG24" s="81">
        <f t="shared" si="11"/>
        <v>10.92608055</v>
      </c>
    </row>
    <row r="25" spans="2:33" ht="35.5" customHeight="1" x14ac:dyDescent="0.3">
      <c r="B25" s="60">
        <v>14</v>
      </c>
      <c r="C25" s="60" t="s">
        <v>425</v>
      </c>
      <c r="F25" s="70" t="s">
        <v>21</v>
      </c>
      <c r="G25" s="70" t="s">
        <v>12</v>
      </c>
      <c r="H25" s="77">
        <v>0.82</v>
      </c>
      <c r="I25" s="78">
        <v>0.85</v>
      </c>
      <c r="J25" s="79">
        <v>1</v>
      </c>
      <c r="K25" s="80">
        <v>152.13645508768806</v>
      </c>
      <c r="L25" s="81">
        <f t="shared" si="0"/>
        <v>21.1794819979519</v>
      </c>
      <c r="M25" s="81">
        <f t="shared" si="1"/>
        <v>18.002559698259116</v>
      </c>
      <c r="N25" s="77">
        <v>0</v>
      </c>
      <c r="O25" s="81">
        <f>N25*الخسارة!$F$6</f>
        <v>0</v>
      </c>
      <c r="P25" s="81">
        <f t="shared" si="2"/>
        <v>152.13645508768806</v>
      </c>
      <c r="Q25" s="81">
        <f t="shared" si="3"/>
        <v>21.1794819979519</v>
      </c>
      <c r="R25" s="81">
        <f t="shared" si="4"/>
        <v>18.002559698259116</v>
      </c>
      <c r="S25" s="81">
        <f>IFERROR(IF(G25="LV",الخسارة!$F$36*العميل!P25/الخسارة!$F$37,IF(G25="MV",الخسارة!$F$30*العميل!P25/الخسارة!$F$31,الخسارة!$F$24*العميل!P25/الخسارة!$F$25)),0)</f>
        <v>16.906471520214136</v>
      </c>
      <c r="T25" s="81">
        <f t="shared" si="5"/>
        <v>169.04292660790219</v>
      </c>
      <c r="U25" s="81">
        <f>IFERROR(IF(G25="LV",الخسارة!$Q$36*العميل!R25/الخسارة!$Q$37,IF(G25="MV",الخسارة!$Q$30*العميل!R25/الخسارة!$Q$31,الخسارة!$Q$24*العميل!R25/الخسارة!$Q$25)),0)</f>
        <v>2.9692368135005545</v>
      </c>
      <c r="V25" s="81">
        <f t="shared" si="6"/>
        <v>20.971796511759671</v>
      </c>
      <c r="W25" s="81">
        <f t="shared" si="7"/>
        <v>16.906471520214126</v>
      </c>
      <c r="X25" s="82">
        <f t="shared" si="8"/>
        <v>0.10001288938536282</v>
      </c>
      <c r="Y25" s="81"/>
      <c r="Z25" s="81">
        <f t="shared" si="9"/>
        <v>21179.481997951902</v>
      </c>
      <c r="AA25" s="83">
        <v>0</v>
      </c>
      <c r="AB25" s="84">
        <f t="shared" si="10"/>
        <v>0</v>
      </c>
      <c r="AC25" s="81"/>
      <c r="AD25" s="80">
        <v>29.210681530000002</v>
      </c>
      <c r="AE25" s="80">
        <v>3.2372999999999999E-4</v>
      </c>
      <c r="AF25" s="80">
        <v>13.45935791</v>
      </c>
      <c r="AG25" s="81">
        <f t="shared" si="11"/>
        <v>42.670363170000002</v>
      </c>
    </row>
    <row r="26" spans="2:33" ht="35.5" customHeight="1" x14ac:dyDescent="0.3">
      <c r="B26" s="60">
        <v>15</v>
      </c>
      <c r="C26" s="60" t="s">
        <v>426</v>
      </c>
      <c r="F26" s="70" t="s">
        <v>20</v>
      </c>
      <c r="G26" s="70" t="s">
        <v>12</v>
      </c>
      <c r="H26" s="77">
        <v>0.82</v>
      </c>
      <c r="I26" s="78">
        <v>0.85</v>
      </c>
      <c r="J26" s="79">
        <v>1</v>
      </c>
      <c r="K26" s="80">
        <v>270.99587287456603</v>
      </c>
      <c r="L26" s="81">
        <f t="shared" si="0"/>
        <v>37.72634381258576</v>
      </c>
      <c r="M26" s="81">
        <f t="shared" si="1"/>
        <v>32.067392240697899</v>
      </c>
      <c r="N26" s="77">
        <v>0</v>
      </c>
      <c r="O26" s="81">
        <f>N26*الخسارة!$F$6</f>
        <v>0</v>
      </c>
      <c r="P26" s="81">
        <f t="shared" si="2"/>
        <v>270.99587287456603</v>
      </c>
      <c r="Q26" s="81">
        <f t="shared" si="3"/>
        <v>37.72634381258576</v>
      </c>
      <c r="R26" s="81">
        <f t="shared" si="4"/>
        <v>32.067392240697899</v>
      </c>
      <c r="S26" s="81">
        <f>IFERROR(IF(G26="LV",الخسارة!$F$36*العميل!P26/الخسارة!$F$37,IF(G26="MV",الخسارة!$F$30*العميل!P26/الخسارة!$F$31,الخسارة!$F$24*العميل!P26/الخسارة!$F$25)),0)</f>
        <v>30.114964912313084</v>
      </c>
      <c r="T26" s="81">
        <f t="shared" si="5"/>
        <v>301.11083778687913</v>
      </c>
      <c r="U26" s="81">
        <f>IFERROR(IF(G26="LV",الخسارة!$Q$36*العميل!R26/الخسارة!$Q$37,IF(G26="MV",الخسارة!$Q$30*العميل!R26/الخسارة!$Q$31,الخسارة!$Q$24*العميل!R26/الخسارة!$Q$25)),0)</f>
        <v>5.2890079605318459</v>
      </c>
      <c r="V26" s="81">
        <f t="shared" si="6"/>
        <v>37.356400201229746</v>
      </c>
      <c r="W26" s="81">
        <f t="shared" si="7"/>
        <v>30.114964912313098</v>
      </c>
      <c r="X26" s="82">
        <f t="shared" si="8"/>
        <v>0.10001288938536292</v>
      </c>
      <c r="Y26" s="81"/>
      <c r="Z26" s="81">
        <f t="shared" si="9"/>
        <v>37726.343812585757</v>
      </c>
      <c r="AA26" s="83">
        <v>0</v>
      </c>
      <c r="AB26" s="84">
        <f t="shared" si="10"/>
        <v>0</v>
      </c>
      <c r="AC26" s="81"/>
      <c r="AD26" s="80">
        <v>51.759134619999998</v>
      </c>
      <c r="AE26" s="80">
        <v>3.2245E-4</v>
      </c>
      <c r="AF26" s="80">
        <v>25.606525140000002</v>
      </c>
      <c r="AG26" s="81">
        <f t="shared" si="11"/>
        <v>77.365982209999999</v>
      </c>
    </row>
    <row r="27" spans="2:33" ht="35.5" customHeight="1" x14ac:dyDescent="0.3">
      <c r="B27" s="60">
        <v>16</v>
      </c>
      <c r="C27" s="60" t="s">
        <v>427</v>
      </c>
      <c r="F27" s="70"/>
      <c r="G27" s="70"/>
      <c r="H27" s="77"/>
      <c r="I27" s="78"/>
      <c r="J27" s="79">
        <v>0</v>
      </c>
      <c r="K27" s="80"/>
      <c r="L27" s="81">
        <f t="shared" si="0"/>
        <v>0</v>
      </c>
      <c r="M27" s="81">
        <f t="shared" si="1"/>
        <v>0</v>
      </c>
      <c r="N27" s="77"/>
      <c r="O27" s="81">
        <f>N27*الخسارة!$F$6</f>
        <v>0</v>
      </c>
      <c r="P27" s="81">
        <f t="shared" si="2"/>
        <v>0</v>
      </c>
      <c r="Q27" s="81" t="str">
        <f t="shared" si="3"/>
        <v>--</v>
      </c>
      <c r="R27" s="81">
        <f t="shared" si="4"/>
        <v>0</v>
      </c>
      <c r="S27" s="81">
        <f>IFERROR(IF(G27="LV",الخسارة!$F$36*العميل!P27/الخسارة!$F$37,IF(G27="MV",الخسارة!$F$30*العميل!P27/الخسارة!$F$31,الخسارة!$F$24*العميل!P27/الخسارة!$F$25)),0)</f>
        <v>0</v>
      </c>
      <c r="T27" s="81">
        <f t="shared" si="5"/>
        <v>0</v>
      </c>
      <c r="U27" s="81">
        <f>IFERROR(IF(G27="LV",الخسارة!$Q$36*العميل!R27/الخسارة!$Q$37,IF(G27="MV",الخسارة!$Q$30*العميل!R27/الخسارة!$Q$31,الخسارة!$Q$24*العميل!R27/الخسارة!$Q$25)),0)</f>
        <v>0</v>
      </c>
      <c r="V27" s="81">
        <f t="shared" si="6"/>
        <v>0</v>
      </c>
      <c r="W27" s="81">
        <f t="shared" si="7"/>
        <v>0</v>
      </c>
      <c r="X27" s="82">
        <f t="shared" si="8"/>
        <v>0</v>
      </c>
      <c r="Y27" s="81"/>
      <c r="Z27" s="81">
        <f t="shared" si="9"/>
        <v>0</v>
      </c>
      <c r="AA27" s="83"/>
      <c r="AB27" s="84">
        <f t="shared" si="10"/>
        <v>0</v>
      </c>
      <c r="AC27" s="81"/>
      <c r="AD27" s="80"/>
      <c r="AE27" s="80"/>
      <c r="AF27" s="80"/>
      <c r="AG27" s="81">
        <f t="shared" si="11"/>
        <v>0</v>
      </c>
    </row>
    <row r="28" spans="2:33" ht="35.5" customHeight="1" x14ac:dyDescent="0.3">
      <c r="B28" s="60">
        <v>17</v>
      </c>
      <c r="C28" s="60" t="s">
        <v>428</v>
      </c>
      <c r="F28" s="70"/>
      <c r="G28" s="70"/>
      <c r="H28" s="77"/>
      <c r="I28" s="78"/>
      <c r="J28" s="79">
        <v>0</v>
      </c>
      <c r="K28" s="80"/>
      <c r="L28" s="81">
        <f t="shared" si="0"/>
        <v>0</v>
      </c>
      <c r="M28" s="81">
        <f t="shared" si="1"/>
        <v>0</v>
      </c>
      <c r="N28" s="77"/>
      <c r="O28" s="81">
        <f>N28*الخسارة!$F$6</f>
        <v>0</v>
      </c>
      <c r="P28" s="81">
        <f t="shared" si="2"/>
        <v>0</v>
      </c>
      <c r="Q28" s="81" t="str">
        <f t="shared" si="3"/>
        <v>--</v>
      </c>
      <c r="R28" s="81">
        <f t="shared" si="4"/>
        <v>0</v>
      </c>
      <c r="S28" s="81">
        <f>IFERROR(IF(G28="LV",الخسارة!$F$36*العميل!P28/الخسارة!$F$37,IF(G28="MV",الخسارة!$F$30*العميل!P28/الخسارة!$F$31,الخسارة!$F$24*العميل!P28/الخسارة!$F$25)),0)</f>
        <v>0</v>
      </c>
      <c r="T28" s="81">
        <f t="shared" si="5"/>
        <v>0</v>
      </c>
      <c r="U28" s="81">
        <f>IFERROR(IF(G28="LV",الخسارة!$Q$36*العميل!R28/الخسارة!$Q$37,IF(G28="MV",الخسارة!$Q$30*العميل!R28/الخسارة!$Q$31,الخسارة!$Q$24*العميل!R28/الخسارة!$Q$25)),0)</f>
        <v>0</v>
      </c>
      <c r="V28" s="81">
        <f t="shared" si="6"/>
        <v>0</v>
      </c>
      <c r="W28" s="81">
        <f t="shared" si="7"/>
        <v>0</v>
      </c>
      <c r="X28" s="82">
        <f t="shared" si="8"/>
        <v>0</v>
      </c>
      <c r="Y28" s="81"/>
      <c r="Z28" s="81">
        <f t="shared" si="9"/>
        <v>0</v>
      </c>
      <c r="AA28" s="83"/>
      <c r="AB28" s="84">
        <f t="shared" si="10"/>
        <v>0</v>
      </c>
      <c r="AC28" s="81"/>
      <c r="AD28" s="80"/>
      <c r="AE28" s="80"/>
      <c r="AF28" s="80"/>
      <c r="AG28" s="81">
        <f t="shared" si="11"/>
        <v>0</v>
      </c>
    </row>
    <row r="29" spans="2:33" ht="35.5" customHeight="1" x14ac:dyDescent="0.3">
      <c r="B29" s="60">
        <v>18</v>
      </c>
      <c r="C29" s="60" t="s">
        <v>429</v>
      </c>
      <c r="F29" s="70"/>
      <c r="G29" s="70"/>
      <c r="H29" s="77"/>
      <c r="I29" s="78"/>
      <c r="J29" s="79">
        <v>0</v>
      </c>
      <c r="K29" s="80"/>
      <c r="L29" s="81">
        <f t="shared" si="0"/>
        <v>0</v>
      </c>
      <c r="M29" s="81">
        <f t="shared" si="1"/>
        <v>0</v>
      </c>
      <c r="N29" s="77"/>
      <c r="O29" s="81">
        <f>N29*الخسارة!$F$6</f>
        <v>0</v>
      </c>
      <c r="P29" s="81">
        <f t="shared" si="2"/>
        <v>0</v>
      </c>
      <c r="Q29" s="81" t="str">
        <f t="shared" si="3"/>
        <v>--</v>
      </c>
      <c r="R29" s="81">
        <f t="shared" si="4"/>
        <v>0</v>
      </c>
      <c r="S29" s="81">
        <f>IFERROR(IF(G29="LV",الخسارة!$F$36*العميل!P29/الخسارة!$F$37,IF(G29="MV",الخسارة!$F$30*العميل!P29/الخسارة!$F$31,الخسارة!$F$24*العميل!P29/الخسارة!$F$25)),0)</f>
        <v>0</v>
      </c>
      <c r="T29" s="81">
        <f t="shared" si="5"/>
        <v>0</v>
      </c>
      <c r="U29" s="81">
        <f>IFERROR(IF(G29="LV",الخسارة!$Q$36*العميل!R29/الخسارة!$Q$37,IF(G29="MV",الخسارة!$Q$30*العميل!R29/الخسارة!$Q$31,الخسارة!$Q$24*العميل!R29/الخسارة!$Q$25)),0)</f>
        <v>0</v>
      </c>
      <c r="V29" s="81">
        <f t="shared" si="6"/>
        <v>0</v>
      </c>
      <c r="W29" s="81">
        <f t="shared" si="7"/>
        <v>0</v>
      </c>
      <c r="X29" s="82">
        <f t="shared" si="8"/>
        <v>0</v>
      </c>
      <c r="Y29" s="81"/>
      <c r="Z29" s="81">
        <f t="shared" si="9"/>
        <v>0</v>
      </c>
      <c r="AA29" s="83"/>
      <c r="AB29" s="84">
        <f t="shared" si="10"/>
        <v>0</v>
      </c>
      <c r="AC29" s="81"/>
      <c r="AD29" s="80"/>
      <c r="AE29" s="80"/>
      <c r="AF29" s="80"/>
      <c r="AG29" s="81">
        <f t="shared" si="11"/>
        <v>0</v>
      </c>
    </row>
    <row r="30" spans="2:33" ht="35.5" customHeight="1" x14ac:dyDescent="0.3">
      <c r="B30" s="60">
        <v>19</v>
      </c>
      <c r="C30" s="60" t="s">
        <v>430</v>
      </c>
      <c r="F30" s="70"/>
      <c r="G30" s="70"/>
      <c r="H30" s="77"/>
      <c r="I30" s="78"/>
      <c r="J30" s="79">
        <v>0</v>
      </c>
      <c r="K30" s="80"/>
      <c r="L30" s="81">
        <f t="shared" si="0"/>
        <v>0</v>
      </c>
      <c r="M30" s="81">
        <f t="shared" ref="M30:M39" si="12">IFERROR(L30*I30,"--")</f>
        <v>0</v>
      </c>
      <c r="N30" s="77"/>
      <c r="O30" s="81">
        <f>N30*الخسارة!$F$6</f>
        <v>0</v>
      </c>
      <c r="P30" s="81">
        <f t="shared" si="2"/>
        <v>0</v>
      </c>
      <c r="Q30" s="81" t="str">
        <f t="shared" si="3"/>
        <v>--</v>
      </c>
      <c r="R30" s="81">
        <f t="shared" si="4"/>
        <v>0</v>
      </c>
      <c r="S30" s="81">
        <f>IFERROR(IF(G30="LV",الخسارة!$F$36*العميل!P30/الخسارة!$F$37,IF(G30="MV",الخسارة!$F$30*العميل!P30/الخسارة!$F$31,الخسارة!$F$24*العميل!P30/الخسارة!$F$25)),0)</f>
        <v>0</v>
      </c>
      <c r="T30" s="81">
        <f t="shared" si="5"/>
        <v>0</v>
      </c>
      <c r="U30" s="81">
        <f>IFERROR(IF(G30="LV",الخسارة!$Q$36*العميل!R30/الخسارة!$Q$37,IF(G30="MV",الخسارة!$Q$30*العميل!R30/الخسارة!$Q$31,الخسارة!$Q$24*العميل!R30/الخسارة!$Q$25)),0)</f>
        <v>0</v>
      </c>
      <c r="V30" s="81">
        <f t="shared" si="6"/>
        <v>0</v>
      </c>
      <c r="W30" s="81">
        <f t="shared" si="7"/>
        <v>0</v>
      </c>
      <c r="X30" s="82">
        <f t="shared" si="8"/>
        <v>0</v>
      </c>
      <c r="Y30" s="81"/>
      <c r="Z30" s="81">
        <f t="shared" si="9"/>
        <v>0</v>
      </c>
      <c r="AA30" s="83"/>
      <c r="AB30" s="84">
        <f t="shared" si="10"/>
        <v>0</v>
      </c>
      <c r="AC30" s="81"/>
      <c r="AD30" s="80"/>
      <c r="AE30" s="80"/>
      <c r="AF30" s="80"/>
      <c r="AG30" s="81">
        <f t="shared" si="11"/>
        <v>0</v>
      </c>
    </row>
    <row r="31" spans="2:33" ht="35.5" customHeight="1" x14ac:dyDescent="0.3">
      <c r="B31" s="60">
        <v>20</v>
      </c>
      <c r="C31" s="60" t="s">
        <v>431</v>
      </c>
      <c r="F31" s="70"/>
      <c r="G31" s="70"/>
      <c r="H31" s="77"/>
      <c r="I31" s="78"/>
      <c r="J31" s="79">
        <v>0</v>
      </c>
      <c r="K31" s="80"/>
      <c r="L31" s="81">
        <f t="shared" si="0"/>
        <v>0</v>
      </c>
      <c r="M31" s="81">
        <f t="shared" si="12"/>
        <v>0</v>
      </c>
      <c r="N31" s="77"/>
      <c r="O31" s="81">
        <f>N31*الخسارة!$F$6</f>
        <v>0</v>
      </c>
      <c r="P31" s="81">
        <f t="shared" si="2"/>
        <v>0</v>
      </c>
      <c r="Q31" s="81" t="str">
        <f t="shared" si="3"/>
        <v>--</v>
      </c>
      <c r="R31" s="81">
        <f t="shared" si="4"/>
        <v>0</v>
      </c>
      <c r="S31" s="81">
        <f>IFERROR(IF(G31="LV",الخسارة!$F$36*العميل!P31/الخسارة!$F$37,IF(G31="MV",الخسارة!$F$30*العميل!P31/الخسارة!$F$31,الخسارة!$F$24*العميل!P31/الخسارة!$F$25)),0)</f>
        <v>0</v>
      </c>
      <c r="T31" s="81">
        <f t="shared" si="5"/>
        <v>0</v>
      </c>
      <c r="U31" s="81">
        <f>IFERROR(IF(G31="LV",الخسارة!$Q$36*العميل!R31/الخسارة!$Q$37,IF(G31="MV",الخسارة!$Q$30*العميل!R31/الخسارة!$Q$31,الخسارة!$Q$24*العميل!R31/الخسارة!$Q$25)),0)</f>
        <v>0</v>
      </c>
      <c r="V31" s="81">
        <f t="shared" si="6"/>
        <v>0</v>
      </c>
      <c r="W31" s="81">
        <f t="shared" si="7"/>
        <v>0</v>
      </c>
      <c r="X31" s="82">
        <f t="shared" si="8"/>
        <v>0</v>
      </c>
      <c r="Y31" s="81"/>
      <c r="Z31" s="81">
        <f t="shared" si="9"/>
        <v>0</v>
      </c>
      <c r="AA31" s="83"/>
      <c r="AB31" s="84">
        <f t="shared" si="10"/>
        <v>0</v>
      </c>
      <c r="AC31" s="81"/>
      <c r="AD31" s="80"/>
      <c r="AE31" s="80"/>
      <c r="AF31" s="80"/>
      <c r="AG31" s="81">
        <f t="shared" si="11"/>
        <v>0</v>
      </c>
    </row>
    <row r="32" spans="2:33" ht="35.5" customHeight="1" x14ac:dyDescent="0.3">
      <c r="B32" s="60">
        <v>21</v>
      </c>
      <c r="C32" s="60" t="s">
        <v>432</v>
      </c>
      <c r="F32" s="70"/>
      <c r="G32" s="70"/>
      <c r="H32" s="77"/>
      <c r="I32" s="78"/>
      <c r="J32" s="79">
        <v>0</v>
      </c>
      <c r="K32" s="80"/>
      <c r="L32" s="81">
        <f t="shared" si="0"/>
        <v>0</v>
      </c>
      <c r="M32" s="81">
        <f t="shared" si="12"/>
        <v>0</v>
      </c>
      <c r="N32" s="77"/>
      <c r="O32" s="81">
        <f>N32*الخسارة!$F$6</f>
        <v>0</v>
      </c>
      <c r="P32" s="81">
        <f t="shared" si="2"/>
        <v>0</v>
      </c>
      <c r="Q32" s="81" t="str">
        <f t="shared" si="3"/>
        <v>--</v>
      </c>
      <c r="R32" s="81">
        <f t="shared" si="4"/>
        <v>0</v>
      </c>
      <c r="S32" s="81">
        <f>IFERROR(IF(G32="LV",الخسارة!$F$36*العميل!P32/الخسارة!$F$37,IF(G32="MV",الخسارة!$F$30*العميل!P32/الخسارة!$F$31,الخسارة!$F$24*العميل!P32/الخسارة!$F$25)),0)</f>
        <v>0</v>
      </c>
      <c r="T32" s="81">
        <f t="shared" si="5"/>
        <v>0</v>
      </c>
      <c r="U32" s="81">
        <f>IFERROR(IF(G32="LV",الخسارة!$Q$36*العميل!R32/الخسارة!$Q$37,IF(G32="MV",الخسارة!$Q$30*العميل!R32/الخسارة!$Q$31,الخسارة!$Q$24*العميل!R32/الخسارة!$Q$25)),0)</f>
        <v>0</v>
      </c>
      <c r="V32" s="81">
        <f t="shared" si="6"/>
        <v>0</v>
      </c>
      <c r="W32" s="81">
        <f t="shared" si="7"/>
        <v>0</v>
      </c>
      <c r="X32" s="82">
        <f t="shared" si="8"/>
        <v>0</v>
      </c>
      <c r="Y32" s="81"/>
      <c r="Z32" s="81">
        <f t="shared" si="9"/>
        <v>0</v>
      </c>
      <c r="AA32" s="83"/>
      <c r="AB32" s="84">
        <f t="shared" si="10"/>
        <v>0</v>
      </c>
      <c r="AC32" s="81"/>
      <c r="AD32" s="80"/>
      <c r="AE32" s="80"/>
      <c r="AF32" s="80"/>
      <c r="AG32" s="81">
        <f t="shared" si="11"/>
        <v>0</v>
      </c>
    </row>
    <row r="33" spans="2:33" ht="35.5" customHeight="1" x14ac:dyDescent="0.3">
      <c r="B33" s="60">
        <v>22</v>
      </c>
      <c r="C33" s="60" t="s">
        <v>433</v>
      </c>
      <c r="F33" s="70"/>
      <c r="G33" s="70"/>
      <c r="H33" s="77"/>
      <c r="I33" s="78"/>
      <c r="J33" s="79">
        <v>0</v>
      </c>
      <c r="K33" s="80"/>
      <c r="L33" s="81">
        <f t="shared" si="0"/>
        <v>0</v>
      </c>
      <c r="M33" s="81">
        <f t="shared" si="12"/>
        <v>0</v>
      </c>
      <c r="N33" s="77"/>
      <c r="O33" s="81">
        <f>N33*الخسارة!$F$6</f>
        <v>0</v>
      </c>
      <c r="P33" s="81">
        <f t="shared" si="2"/>
        <v>0</v>
      </c>
      <c r="Q33" s="81" t="str">
        <f t="shared" si="3"/>
        <v>--</v>
      </c>
      <c r="R33" s="81">
        <f t="shared" si="4"/>
        <v>0</v>
      </c>
      <c r="S33" s="81">
        <f>IFERROR(IF(G33="LV",الخسارة!$F$36*العميل!P33/الخسارة!$F$37,IF(G33="MV",الخسارة!$F$30*العميل!P33/الخسارة!$F$31,الخسارة!$F$24*العميل!P33/الخسارة!$F$25)),0)</f>
        <v>0</v>
      </c>
      <c r="T33" s="81">
        <f t="shared" si="5"/>
        <v>0</v>
      </c>
      <c r="U33" s="81">
        <f>IFERROR(IF(G33="LV",الخسارة!$Q$36*العميل!R33/الخسارة!$Q$37,IF(G33="MV",الخسارة!$Q$30*العميل!R33/الخسارة!$Q$31,الخسارة!$Q$24*العميل!R33/الخسارة!$Q$25)),0)</f>
        <v>0</v>
      </c>
      <c r="V33" s="81">
        <f t="shared" si="6"/>
        <v>0</v>
      </c>
      <c r="W33" s="81">
        <f t="shared" si="7"/>
        <v>0</v>
      </c>
      <c r="X33" s="82">
        <f t="shared" si="8"/>
        <v>0</v>
      </c>
      <c r="Y33" s="81"/>
      <c r="Z33" s="81">
        <f t="shared" si="9"/>
        <v>0</v>
      </c>
      <c r="AA33" s="83"/>
      <c r="AB33" s="84">
        <f t="shared" si="10"/>
        <v>0</v>
      </c>
      <c r="AC33" s="81"/>
      <c r="AD33" s="80"/>
      <c r="AE33" s="80"/>
      <c r="AF33" s="80"/>
      <c r="AG33" s="81">
        <f t="shared" si="11"/>
        <v>0</v>
      </c>
    </row>
    <row r="34" spans="2:33" ht="35.5" customHeight="1" x14ac:dyDescent="0.3">
      <c r="B34" s="60">
        <v>23</v>
      </c>
      <c r="C34" s="60" t="s">
        <v>434</v>
      </c>
      <c r="F34" s="70"/>
      <c r="G34" s="70"/>
      <c r="H34" s="77"/>
      <c r="I34" s="78"/>
      <c r="J34" s="79">
        <v>0</v>
      </c>
      <c r="K34" s="80"/>
      <c r="L34" s="81">
        <f t="shared" si="0"/>
        <v>0</v>
      </c>
      <c r="M34" s="81">
        <f t="shared" si="12"/>
        <v>0</v>
      </c>
      <c r="N34" s="77"/>
      <c r="O34" s="81">
        <f>N34*الخسارة!$F$6</f>
        <v>0</v>
      </c>
      <c r="P34" s="81">
        <f t="shared" si="2"/>
        <v>0</v>
      </c>
      <c r="Q34" s="81" t="str">
        <f t="shared" si="3"/>
        <v>--</v>
      </c>
      <c r="R34" s="81">
        <f t="shared" si="4"/>
        <v>0</v>
      </c>
      <c r="S34" s="81">
        <f>IFERROR(IF(G34="LV",الخسارة!$F$36*العميل!P34/الخسارة!$F$37,IF(G34="MV",الخسارة!$F$30*العميل!P34/الخسارة!$F$31,الخسارة!$F$24*العميل!P34/الخسارة!$F$25)),0)</f>
        <v>0</v>
      </c>
      <c r="T34" s="81">
        <f t="shared" si="5"/>
        <v>0</v>
      </c>
      <c r="U34" s="81">
        <f>IFERROR(IF(G34="LV",الخسارة!$Q$36*العميل!R34/الخسارة!$Q$37,IF(G34="MV",الخسارة!$Q$30*العميل!R34/الخسارة!$Q$31,الخسارة!$Q$24*العميل!R34/الخسارة!$Q$25)),0)</f>
        <v>0</v>
      </c>
      <c r="V34" s="81">
        <f t="shared" si="6"/>
        <v>0</v>
      </c>
      <c r="W34" s="81">
        <f t="shared" si="7"/>
        <v>0</v>
      </c>
      <c r="X34" s="82">
        <f t="shared" si="8"/>
        <v>0</v>
      </c>
      <c r="Y34" s="81"/>
      <c r="Z34" s="81">
        <f t="shared" si="9"/>
        <v>0</v>
      </c>
      <c r="AA34" s="83"/>
      <c r="AB34" s="84">
        <f t="shared" si="10"/>
        <v>0</v>
      </c>
      <c r="AC34" s="81"/>
      <c r="AD34" s="80"/>
      <c r="AE34" s="80"/>
      <c r="AF34" s="80"/>
      <c r="AG34" s="81">
        <f t="shared" si="11"/>
        <v>0</v>
      </c>
    </row>
    <row r="35" spans="2:33" ht="35.5" customHeight="1" x14ac:dyDescent="0.3">
      <c r="B35" s="60">
        <v>24</v>
      </c>
      <c r="C35" s="60" t="s">
        <v>435</v>
      </c>
      <c r="F35" s="70"/>
      <c r="G35" s="70"/>
      <c r="H35" s="77"/>
      <c r="I35" s="78"/>
      <c r="J35" s="79">
        <v>0</v>
      </c>
      <c r="K35" s="80"/>
      <c r="L35" s="81">
        <f t="shared" si="0"/>
        <v>0</v>
      </c>
      <c r="M35" s="81">
        <f t="shared" si="12"/>
        <v>0</v>
      </c>
      <c r="N35" s="77"/>
      <c r="O35" s="81">
        <f>N35*الخسارة!$F$6</f>
        <v>0</v>
      </c>
      <c r="P35" s="81">
        <f t="shared" si="2"/>
        <v>0</v>
      </c>
      <c r="Q35" s="81" t="str">
        <f t="shared" si="3"/>
        <v>--</v>
      </c>
      <c r="R35" s="81">
        <f t="shared" si="4"/>
        <v>0</v>
      </c>
      <c r="S35" s="81">
        <f>IFERROR(IF(G35="LV",الخسارة!$F$36*العميل!P35/الخسارة!$F$37,IF(G35="MV",الخسارة!$F$30*العميل!P35/الخسارة!$F$31,الخسارة!$F$24*العميل!P35/الخسارة!$F$25)),0)</f>
        <v>0</v>
      </c>
      <c r="T35" s="81">
        <f t="shared" si="5"/>
        <v>0</v>
      </c>
      <c r="U35" s="81">
        <f>IFERROR(IF(G35="LV",الخسارة!$Q$36*العميل!R35/الخسارة!$Q$37,IF(G35="MV",الخسارة!$Q$30*العميل!R35/الخسارة!$Q$31,الخسارة!$Q$24*العميل!R35/الخسارة!$Q$25)),0)</f>
        <v>0</v>
      </c>
      <c r="V35" s="81">
        <f t="shared" si="6"/>
        <v>0</v>
      </c>
      <c r="W35" s="81">
        <f t="shared" si="7"/>
        <v>0</v>
      </c>
      <c r="X35" s="82">
        <f t="shared" si="8"/>
        <v>0</v>
      </c>
      <c r="Y35" s="81"/>
      <c r="Z35" s="81">
        <f t="shared" si="9"/>
        <v>0</v>
      </c>
      <c r="AA35" s="83"/>
      <c r="AB35" s="84">
        <f t="shared" si="10"/>
        <v>0</v>
      </c>
      <c r="AC35" s="81"/>
      <c r="AD35" s="80"/>
      <c r="AE35" s="80"/>
      <c r="AF35" s="80"/>
      <c r="AG35" s="81">
        <f t="shared" si="11"/>
        <v>0</v>
      </c>
    </row>
    <row r="36" spans="2:33" ht="35.5" customHeight="1" x14ac:dyDescent="0.3">
      <c r="B36" s="60">
        <v>25</v>
      </c>
      <c r="C36" s="60" t="s">
        <v>436</v>
      </c>
      <c r="F36" s="70"/>
      <c r="G36" s="70"/>
      <c r="H36" s="77"/>
      <c r="I36" s="78"/>
      <c r="J36" s="79">
        <v>0</v>
      </c>
      <c r="K36" s="80"/>
      <c r="L36" s="81">
        <f t="shared" si="0"/>
        <v>0</v>
      </c>
      <c r="M36" s="81">
        <f t="shared" si="12"/>
        <v>0</v>
      </c>
      <c r="N36" s="77"/>
      <c r="O36" s="81">
        <f>N36*الخسارة!$F$6</f>
        <v>0</v>
      </c>
      <c r="P36" s="81">
        <f t="shared" si="2"/>
        <v>0</v>
      </c>
      <c r="Q36" s="81" t="str">
        <f t="shared" si="3"/>
        <v>--</v>
      </c>
      <c r="R36" s="81">
        <f t="shared" si="4"/>
        <v>0</v>
      </c>
      <c r="S36" s="81">
        <f>IFERROR(IF(G36="LV",الخسارة!$F$36*العميل!P36/الخسارة!$F$37,IF(G36="MV",الخسارة!$F$30*العميل!P36/الخسارة!$F$31,الخسارة!$F$24*العميل!P36/الخسارة!$F$25)),0)</f>
        <v>0</v>
      </c>
      <c r="T36" s="81">
        <f t="shared" si="5"/>
        <v>0</v>
      </c>
      <c r="U36" s="81">
        <f>IFERROR(IF(G36="LV",الخسارة!$Q$36*العميل!R36/الخسارة!$Q$37,IF(G36="MV",الخسارة!$Q$30*العميل!R36/الخسارة!$Q$31,الخسارة!$Q$24*العميل!R36/الخسارة!$Q$25)),0)</f>
        <v>0</v>
      </c>
      <c r="V36" s="81">
        <f t="shared" si="6"/>
        <v>0</v>
      </c>
      <c r="W36" s="81">
        <f t="shared" si="7"/>
        <v>0</v>
      </c>
      <c r="X36" s="82">
        <f t="shared" si="8"/>
        <v>0</v>
      </c>
      <c r="Y36" s="81"/>
      <c r="Z36" s="81">
        <f t="shared" si="9"/>
        <v>0</v>
      </c>
      <c r="AA36" s="83"/>
      <c r="AB36" s="84">
        <f t="shared" si="10"/>
        <v>0</v>
      </c>
      <c r="AC36" s="81"/>
      <c r="AD36" s="80"/>
      <c r="AE36" s="80"/>
      <c r="AF36" s="80"/>
      <c r="AG36" s="81">
        <f t="shared" si="11"/>
        <v>0</v>
      </c>
    </row>
    <row r="37" spans="2:33" ht="35.5" customHeight="1" x14ac:dyDescent="0.3">
      <c r="B37" s="60">
        <v>26</v>
      </c>
      <c r="C37" s="60" t="s">
        <v>437</v>
      </c>
      <c r="F37" s="70"/>
      <c r="G37" s="70"/>
      <c r="H37" s="77"/>
      <c r="I37" s="78"/>
      <c r="J37" s="79">
        <v>0</v>
      </c>
      <c r="K37" s="80"/>
      <c r="L37" s="81">
        <f t="shared" si="0"/>
        <v>0</v>
      </c>
      <c r="M37" s="81">
        <f t="shared" si="12"/>
        <v>0</v>
      </c>
      <c r="N37" s="77"/>
      <c r="O37" s="81">
        <f>N37*الخسارة!$F$6</f>
        <v>0</v>
      </c>
      <c r="P37" s="81">
        <f t="shared" si="2"/>
        <v>0</v>
      </c>
      <c r="Q37" s="81" t="str">
        <f t="shared" si="3"/>
        <v>--</v>
      </c>
      <c r="R37" s="81">
        <f t="shared" si="4"/>
        <v>0</v>
      </c>
      <c r="S37" s="81">
        <f>IFERROR(IF(G37="LV",الخسارة!$F$36*العميل!P37/الخسارة!$F$37,IF(G37="MV",الخسارة!$F$30*العميل!P37/الخسارة!$F$31,الخسارة!$F$24*العميل!P37/الخسارة!$F$25)),0)</f>
        <v>0</v>
      </c>
      <c r="T37" s="81">
        <f t="shared" si="5"/>
        <v>0</v>
      </c>
      <c r="U37" s="81">
        <f>IFERROR(IF(G37="LV",الخسارة!$Q$36*العميل!R37/الخسارة!$Q$37,IF(G37="MV",الخسارة!$Q$30*العميل!R37/الخسارة!$Q$31,الخسارة!$Q$24*العميل!R37/الخسارة!$Q$25)),0)</f>
        <v>0</v>
      </c>
      <c r="V37" s="81">
        <f t="shared" si="6"/>
        <v>0</v>
      </c>
      <c r="W37" s="81">
        <f t="shared" si="7"/>
        <v>0</v>
      </c>
      <c r="X37" s="82">
        <f t="shared" si="8"/>
        <v>0</v>
      </c>
      <c r="Y37" s="81"/>
      <c r="Z37" s="81">
        <f t="shared" si="9"/>
        <v>0</v>
      </c>
      <c r="AA37" s="83"/>
      <c r="AB37" s="84">
        <f t="shared" si="10"/>
        <v>0</v>
      </c>
      <c r="AC37" s="81"/>
      <c r="AD37" s="80"/>
      <c r="AE37" s="80"/>
      <c r="AF37" s="80"/>
      <c r="AG37" s="81">
        <f t="shared" si="11"/>
        <v>0</v>
      </c>
    </row>
    <row r="38" spans="2:33" ht="35.5" customHeight="1" x14ac:dyDescent="0.3">
      <c r="B38" s="60">
        <v>27</v>
      </c>
      <c r="C38" s="60" t="s">
        <v>438</v>
      </c>
      <c r="F38" s="70"/>
      <c r="G38" s="70"/>
      <c r="H38" s="77"/>
      <c r="I38" s="78"/>
      <c r="J38" s="79">
        <v>0</v>
      </c>
      <c r="K38" s="80"/>
      <c r="L38" s="81">
        <f t="shared" si="0"/>
        <v>0</v>
      </c>
      <c r="M38" s="81">
        <f t="shared" si="12"/>
        <v>0</v>
      </c>
      <c r="N38" s="77"/>
      <c r="O38" s="81">
        <f>N38*الخسارة!$F$6</f>
        <v>0</v>
      </c>
      <c r="P38" s="81">
        <f t="shared" si="2"/>
        <v>0</v>
      </c>
      <c r="Q38" s="81" t="str">
        <f t="shared" si="3"/>
        <v>--</v>
      </c>
      <c r="R38" s="81">
        <f t="shared" si="4"/>
        <v>0</v>
      </c>
      <c r="S38" s="81">
        <f>IFERROR(IF(G38="LV",الخسارة!$F$36*العميل!P38/الخسارة!$F$37,IF(G38="MV",الخسارة!$F$30*العميل!P38/الخسارة!$F$31,الخسارة!$F$24*العميل!P38/الخسارة!$F$25)),0)</f>
        <v>0</v>
      </c>
      <c r="T38" s="81">
        <f t="shared" si="5"/>
        <v>0</v>
      </c>
      <c r="U38" s="81">
        <f>IFERROR(IF(G38="LV",الخسارة!$Q$36*العميل!R38/الخسارة!$Q$37,IF(G38="MV",الخسارة!$Q$30*العميل!R38/الخسارة!$Q$31,الخسارة!$Q$24*العميل!R38/الخسارة!$Q$25)),0)</f>
        <v>0</v>
      </c>
      <c r="V38" s="81">
        <f t="shared" si="6"/>
        <v>0</v>
      </c>
      <c r="W38" s="81">
        <f t="shared" si="7"/>
        <v>0</v>
      </c>
      <c r="X38" s="82">
        <f t="shared" si="8"/>
        <v>0</v>
      </c>
      <c r="Y38" s="81"/>
      <c r="Z38" s="81">
        <f t="shared" si="9"/>
        <v>0</v>
      </c>
      <c r="AA38" s="83"/>
      <c r="AB38" s="84">
        <f t="shared" si="10"/>
        <v>0</v>
      </c>
      <c r="AC38" s="81"/>
      <c r="AD38" s="80"/>
      <c r="AE38" s="80"/>
      <c r="AF38" s="80"/>
      <c r="AG38" s="81">
        <f t="shared" si="11"/>
        <v>0</v>
      </c>
    </row>
    <row r="39" spans="2:33" ht="35.5" customHeight="1" x14ac:dyDescent="0.3">
      <c r="B39" s="60">
        <v>28</v>
      </c>
      <c r="C39" s="60" t="s">
        <v>439</v>
      </c>
      <c r="F39" s="70"/>
      <c r="G39" s="70"/>
      <c r="H39" s="77"/>
      <c r="I39" s="78"/>
      <c r="J39" s="79">
        <v>0</v>
      </c>
      <c r="K39" s="80"/>
      <c r="L39" s="81">
        <f t="shared" si="0"/>
        <v>0</v>
      </c>
      <c r="M39" s="81">
        <f t="shared" si="12"/>
        <v>0</v>
      </c>
      <c r="N39" s="77"/>
      <c r="O39" s="81">
        <f>N39*الخسارة!$F$6</f>
        <v>0</v>
      </c>
      <c r="P39" s="81">
        <f t="shared" si="2"/>
        <v>0</v>
      </c>
      <c r="Q39" s="81" t="str">
        <f t="shared" si="3"/>
        <v>--</v>
      </c>
      <c r="R39" s="81">
        <f t="shared" si="4"/>
        <v>0</v>
      </c>
      <c r="S39" s="81">
        <f>IFERROR(IF(G39="LV",الخسارة!$F$36*العميل!P39/الخسارة!$F$37,IF(G39="MV",الخسارة!$F$30*العميل!P39/الخسارة!$F$31,الخسارة!$F$24*العميل!P39/الخسارة!$F$25)),0)</f>
        <v>0</v>
      </c>
      <c r="T39" s="81">
        <f t="shared" si="5"/>
        <v>0</v>
      </c>
      <c r="U39" s="81">
        <f>IFERROR(IF(G39="LV",الخسارة!$Q$36*العميل!R39/الخسارة!$Q$37,IF(G39="MV",الخسارة!$Q$30*العميل!R39/الخسارة!$Q$31,الخسارة!$Q$24*العميل!R39/الخسارة!$Q$25)),0)</f>
        <v>0</v>
      </c>
      <c r="V39" s="81">
        <f t="shared" si="6"/>
        <v>0</v>
      </c>
      <c r="W39" s="81">
        <f t="shared" si="7"/>
        <v>0</v>
      </c>
      <c r="X39" s="82">
        <f t="shared" si="8"/>
        <v>0</v>
      </c>
      <c r="Y39" s="81"/>
      <c r="Z39" s="81">
        <f t="shared" si="9"/>
        <v>0</v>
      </c>
      <c r="AA39" s="83"/>
      <c r="AB39" s="84">
        <f t="shared" si="10"/>
        <v>0</v>
      </c>
      <c r="AC39" s="81"/>
      <c r="AD39" s="80"/>
      <c r="AE39" s="80"/>
      <c r="AF39" s="80"/>
      <c r="AG39" s="81">
        <f t="shared" si="11"/>
        <v>0</v>
      </c>
    </row>
    <row r="40" spans="2:33" ht="35.5" customHeight="1" x14ac:dyDescent="0.3">
      <c r="B40" s="60">
        <v>29</v>
      </c>
      <c r="C40" s="60" t="s">
        <v>440</v>
      </c>
      <c r="F40" s="70"/>
      <c r="G40" s="70"/>
      <c r="H40" s="77"/>
      <c r="I40" s="78"/>
      <c r="J40" s="79">
        <v>0</v>
      </c>
      <c r="K40" s="80"/>
      <c r="L40" s="81">
        <f t="shared" si="0"/>
        <v>0</v>
      </c>
      <c r="M40" s="81">
        <f t="shared" si="1"/>
        <v>0</v>
      </c>
      <c r="N40" s="77"/>
      <c r="O40" s="81">
        <f>N40*الخسارة!$F$6</f>
        <v>0</v>
      </c>
      <c r="P40" s="81">
        <f t="shared" si="2"/>
        <v>0</v>
      </c>
      <c r="Q40" s="81" t="str">
        <f t="shared" si="3"/>
        <v>--</v>
      </c>
      <c r="R40" s="81">
        <f t="shared" si="4"/>
        <v>0</v>
      </c>
      <c r="S40" s="81">
        <f>IFERROR(IF(G40="LV",الخسارة!$F$36*العميل!P40/الخسارة!$F$37,IF(G40="MV",الخسارة!$F$30*العميل!P40/الخسارة!$F$31,الخسارة!$F$24*العميل!P40/الخسارة!$F$25)),0)</f>
        <v>0</v>
      </c>
      <c r="T40" s="81">
        <f t="shared" si="5"/>
        <v>0</v>
      </c>
      <c r="U40" s="81">
        <f>IFERROR(IF(G40="LV",الخسارة!$Q$36*العميل!R40/الخسارة!$Q$37,IF(G40="MV",الخسارة!$Q$30*العميل!R40/الخسارة!$Q$31,الخسارة!$Q$24*العميل!R40/الخسارة!$Q$25)),0)</f>
        <v>0</v>
      </c>
      <c r="V40" s="81">
        <f t="shared" si="6"/>
        <v>0</v>
      </c>
      <c r="W40" s="81">
        <f t="shared" si="7"/>
        <v>0</v>
      </c>
      <c r="X40" s="82">
        <f t="shared" si="8"/>
        <v>0</v>
      </c>
      <c r="Y40" s="81"/>
      <c r="Z40" s="81">
        <f t="shared" si="9"/>
        <v>0</v>
      </c>
      <c r="AA40" s="83"/>
      <c r="AB40" s="84">
        <f t="shared" si="10"/>
        <v>0</v>
      </c>
      <c r="AC40" s="81"/>
      <c r="AD40" s="80"/>
      <c r="AE40" s="80"/>
      <c r="AF40" s="80"/>
      <c r="AG40" s="81">
        <f t="shared" si="11"/>
        <v>0</v>
      </c>
    </row>
    <row r="41" spans="2:33" ht="35.5" customHeight="1" x14ac:dyDescent="0.3">
      <c r="B41" s="60">
        <v>30</v>
      </c>
      <c r="C41" s="60" t="s">
        <v>441</v>
      </c>
      <c r="F41" s="70"/>
      <c r="G41" s="70"/>
      <c r="H41" s="77"/>
      <c r="I41" s="78"/>
      <c r="J41" s="79">
        <v>0</v>
      </c>
      <c r="K41" s="80"/>
      <c r="L41" s="81">
        <f t="shared" si="0"/>
        <v>0</v>
      </c>
      <c r="M41" s="81">
        <f t="shared" ref="M41" si="13">IFERROR(L41*I41,"--")</f>
        <v>0</v>
      </c>
      <c r="N41" s="77"/>
      <c r="O41" s="81">
        <f>N41*الخسارة!$F$6</f>
        <v>0</v>
      </c>
      <c r="P41" s="81">
        <f t="shared" ref="P41" si="14">K41+O41</f>
        <v>0</v>
      </c>
      <c r="Q41" s="81" t="str">
        <f t="shared" ref="Q41" si="15">IFERROR(P41/(8.76*H41),"--")</f>
        <v>--</v>
      </c>
      <c r="R41" s="81">
        <f t="shared" si="4"/>
        <v>0</v>
      </c>
      <c r="S41" s="81">
        <f>IFERROR(IF(G41="LV",الخسارة!$F$36*العميل!P41/الخسارة!$F$37,IF(G41="MV",الخسارة!$F$30*العميل!P41/الخسارة!$F$31,الخسارة!$F$24*العميل!P41/الخسارة!$F$25)),0)</f>
        <v>0</v>
      </c>
      <c r="T41" s="81">
        <f t="shared" si="5"/>
        <v>0</v>
      </c>
      <c r="U41" s="81">
        <f>IFERROR(IF(G41="LV",الخسارة!$Q$36*العميل!R41/الخسارة!$Q$37,IF(G41="MV",الخسارة!$Q$30*العميل!R41/الخسارة!$Q$31,الخسارة!$Q$24*العميل!R41/الخسارة!$Q$25)),0)</f>
        <v>0</v>
      </c>
      <c r="V41" s="81">
        <f t="shared" si="6"/>
        <v>0</v>
      </c>
      <c r="W41" s="81">
        <f t="shared" si="7"/>
        <v>0</v>
      </c>
      <c r="X41" s="82">
        <f t="shared" si="8"/>
        <v>0</v>
      </c>
      <c r="Y41" s="81"/>
      <c r="Z41" s="81">
        <f t="shared" si="9"/>
        <v>0</v>
      </c>
      <c r="AA41" s="83"/>
      <c r="AB41" s="84">
        <f t="shared" si="10"/>
        <v>0</v>
      </c>
      <c r="AC41" s="81"/>
      <c r="AD41" s="80"/>
      <c r="AE41" s="80"/>
      <c r="AF41" s="80"/>
      <c r="AG41" s="81">
        <f t="shared" si="11"/>
        <v>0</v>
      </c>
    </row>
    <row r="42" spans="2:33" ht="35.5" customHeight="1" x14ac:dyDescent="0.3">
      <c r="B42" s="60" t="s">
        <v>16</v>
      </c>
      <c r="C42" s="85" t="s">
        <v>442</v>
      </c>
      <c r="D42" s="85"/>
      <c r="E42" s="85"/>
      <c r="F42" s="70"/>
      <c r="G42" s="70" t="s">
        <v>12</v>
      </c>
      <c r="H42" s="77"/>
      <c r="I42" s="78"/>
      <c r="J42" s="79">
        <v>0</v>
      </c>
      <c r="K42" s="80"/>
      <c r="L42" s="81">
        <f t="shared" si="0"/>
        <v>0</v>
      </c>
      <c r="M42" s="81"/>
      <c r="N42" s="77"/>
      <c r="O42" s="81"/>
      <c r="P42" s="81"/>
      <c r="Q42" s="81"/>
      <c r="R42" s="81"/>
      <c r="S42" s="86">
        <f>الخسارة!F4-SUM(العميل!S12:S41)</f>
        <v>7.3896444519050419E-13</v>
      </c>
      <c r="T42" s="81">
        <f t="shared" si="5"/>
        <v>7.3896444519050419E-13</v>
      </c>
      <c r="U42" s="86">
        <f>الخسارة!Q4-SUM(العميل!U12:U41)</f>
        <v>-1.4888099588802106E-2</v>
      </c>
      <c r="V42" s="81">
        <f t="shared" si="6"/>
        <v>-1.4888099588802106E-2</v>
      </c>
      <c r="W42" s="81">
        <f t="shared" ref="W42" si="16">T42-K42</f>
        <v>7.3896444519050419E-13</v>
      </c>
      <c r="X42" s="82"/>
      <c r="Y42" s="81"/>
      <c r="Z42" s="81">
        <f t="shared" si="9"/>
        <v>0</v>
      </c>
      <c r="AA42" s="83"/>
      <c r="AB42" s="84">
        <f t="shared" si="10"/>
        <v>0</v>
      </c>
      <c r="AC42" s="81"/>
      <c r="AD42" s="80"/>
      <c r="AE42" s="80"/>
      <c r="AF42" s="80"/>
      <c r="AG42" s="81">
        <f t="shared" si="11"/>
        <v>0</v>
      </c>
    </row>
    <row r="43" spans="2:33" ht="35.5" customHeight="1" x14ac:dyDescent="0.3">
      <c r="J43" s="87">
        <f>SUM(J12:J42)</f>
        <v>198615.06009933358</v>
      </c>
      <c r="K43" s="81">
        <f>SUM(K12:K42)</f>
        <v>2916.2499999999995</v>
      </c>
      <c r="L43" s="81">
        <f t="shared" ref="L43:W43" si="17">SUM(L12:L42)</f>
        <v>662.47765708795168</v>
      </c>
      <c r="M43" s="81">
        <f t="shared" si="17"/>
        <v>429.09051139574842</v>
      </c>
      <c r="N43" s="88">
        <f>SUM(N12:N42)</f>
        <v>1</v>
      </c>
      <c r="O43" s="81">
        <f t="shared" si="17"/>
        <v>52.130000000000116</v>
      </c>
      <c r="P43" s="81">
        <f t="shared" si="17"/>
        <v>2968.3799999999997</v>
      </c>
      <c r="Q43" s="81">
        <f t="shared" si="17"/>
        <v>677.14135148265871</v>
      </c>
      <c r="R43" s="81">
        <f t="shared" si="17"/>
        <v>435.8118503394345</v>
      </c>
      <c r="S43" s="81">
        <f t="shared" si="17"/>
        <v>329.82</v>
      </c>
      <c r="T43" s="81">
        <f t="shared" si="17"/>
        <v>3298.2000000000003</v>
      </c>
      <c r="U43" s="81">
        <f t="shared" si="17"/>
        <v>67.806202029737307</v>
      </c>
      <c r="V43" s="81">
        <f t="shared" si="17"/>
        <v>503.61805236917178</v>
      </c>
      <c r="W43" s="81">
        <f t="shared" si="17"/>
        <v>381.9500000000001</v>
      </c>
      <c r="X43" s="81"/>
      <c r="Y43" s="81"/>
      <c r="Z43" s="81"/>
      <c r="AA43" s="81"/>
      <c r="AB43" s="87">
        <f>SUM(AB12:AB42)</f>
        <v>36050.549637219679</v>
      </c>
      <c r="AC43" s="81"/>
      <c r="AD43" s="81">
        <f t="shared" ref="AD43:AG43" si="18">SUM(AD12:AD42)</f>
        <v>845.05123042000014</v>
      </c>
      <c r="AE43" s="81">
        <f t="shared" si="18"/>
        <v>12.950913080000051</v>
      </c>
      <c r="AF43" s="81">
        <f t="shared" si="18"/>
        <v>188.32285649999997</v>
      </c>
      <c r="AG43" s="81">
        <f t="shared" si="18"/>
        <v>1046.3250000000003</v>
      </c>
    </row>
  </sheetData>
  <mergeCells count="5">
    <mergeCell ref="C11:E11"/>
    <mergeCell ref="AD9:AG9"/>
    <mergeCell ref="F9:I9"/>
    <mergeCell ref="K9:V9"/>
    <mergeCell ref="Z9:AB9"/>
  </mergeCells>
  <phoneticPr fontId="2" type="noConversion"/>
  <dataValidations count="3">
    <dataValidation type="list" allowBlank="1" showInputMessage="1" showErrorMessage="1" sqref="F27:F42" xr:uid="{9FE983F8-D0D8-46C9-9C9B-7C90D6742073}">
      <formula1>$AJ$12:$AJ$14</formula1>
    </dataValidation>
    <dataValidation type="list" allowBlank="1" showInputMessage="1" showErrorMessage="1" sqref="G12:G42" xr:uid="{7F4603D3-9497-406E-ABAC-540572F8CB2C}">
      <formula1>$AL$12:$AL$14</formula1>
    </dataValidation>
    <dataValidation type="list" allowBlank="1" showInputMessage="1" showErrorMessage="1" sqref="F12:F26" xr:uid="{89B4A2B6-D218-44DB-9AFE-CAEA9CD7BDBE}">
      <formula1>$AJ$12:$AJ$13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9C75-DBE8-462D-9C24-4D8CF3760700}">
  <dimension ref="A2:R37"/>
  <sheetViews>
    <sheetView showGridLines="0" rightToLeft="1" zoomScale="132" zoomScaleNormal="132" workbookViewId="0">
      <selection activeCell="A16" sqref="A1:XFD1048576"/>
    </sheetView>
  </sheetViews>
  <sheetFormatPr defaultColWidth="9.1796875" defaultRowHeight="13" x14ac:dyDescent="0.3"/>
  <cols>
    <col min="1" max="1" width="4.1796875" style="61" customWidth="1"/>
    <col min="2" max="6" width="9.1796875" style="61"/>
    <col min="7" max="7" width="7.90625" style="66" customWidth="1"/>
    <col min="8" max="8" width="11.453125" style="66" customWidth="1"/>
    <col min="9" max="11" width="9.1796875" style="61"/>
    <col min="12" max="12" width="4" style="61" customWidth="1"/>
    <col min="13" max="16384" width="9.1796875" style="61"/>
  </cols>
  <sheetData>
    <row r="2" spans="1:18" x14ac:dyDescent="0.3">
      <c r="B2" s="65" t="s">
        <v>175</v>
      </c>
      <c r="M2" s="65" t="s">
        <v>206</v>
      </c>
    </row>
    <row r="3" spans="1:18" x14ac:dyDescent="0.3">
      <c r="A3" s="61">
        <v>1</v>
      </c>
      <c r="B3" s="61" t="s">
        <v>65</v>
      </c>
      <c r="E3" s="61" t="s">
        <v>166</v>
      </c>
      <c r="F3" s="89">
        <v>3298.2</v>
      </c>
      <c r="H3" s="90"/>
      <c r="I3" s="91"/>
      <c r="J3" s="91"/>
      <c r="K3" s="91"/>
      <c r="L3" s="61">
        <v>1</v>
      </c>
      <c r="M3" s="61" t="s">
        <v>207</v>
      </c>
      <c r="P3" s="61" t="s">
        <v>411</v>
      </c>
      <c r="Q3" s="89">
        <v>503.48</v>
      </c>
    </row>
    <row r="4" spans="1:18" ht="26" x14ac:dyDescent="0.3">
      <c r="A4" s="61">
        <v>2</v>
      </c>
      <c r="B4" s="61" t="s">
        <v>176</v>
      </c>
      <c r="E4" s="61" t="s">
        <v>166</v>
      </c>
      <c r="F4" s="92">
        <f>F10*F3</f>
        <v>329.82</v>
      </c>
      <c r="H4" s="93" t="s">
        <v>449</v>
      </c>
      <c r="I4" s="94"/>
      <c r="J4" s="94"/>
      <c r="K4" s="94"/>
      <c r="L4" s="61">
        <v>2</v>
      </c>
      <c r="M4" s="61" t="s">
        <v>176</v>
      </c>
      <c r="P4" s="61" t="s">
        <v>411</v>
      </c>
      <c r="Q4" s="92">
        <f>Q24+Q30+Q36</f>
        <v>67.806202029737307</v>
      </c>
    </row>
    <row r="5" spans="1:18" ht="52" x14ac:dyDescent="0.3">
      <c r="A5" s="61">
        <v>3</v>
      </c>
      <c r="B5" s="61" t="s">
        <v>177</v>
      </c>
      <c r="E5" s="61" t="s">
        <v>166</v>
      </c>
      <c r="F5" s="92">
        <f>F3-F4</f>
        <v>2968.3799999999997</v>
      </c>
      <c r="H5" s="93" t="s">
        <v>140</v>
      </c>
      <c r="I5" s="94"/>
      <c r="J5" s="94"/>
      <c r="K5" s="94"/>
      <c r="L5" s="61">
        <v>3</v>
      </c>
      <c r="M5" s="61" t="s">
        <v>177</v>
      </c>
      <c r="P5" s="61" t="s">
        <v>411</v>
      </c>
      <c r="Q5" s="92">
        <f>Q3-Q4</f>
        <v>435.67379797026274</v>
      </c>
    </row>
    <row r="6" spans="1:18" ht="39" x14ac:dyDescent="0.3">
      <c r="A6" s="61">
        <v>4</v>
      </c>
      <c r="B6" s="61" t="s">
        <v>178</v>
      </c>
      <c r="E6" s="61" t="s">
        <v>166</v>
      </c>
      <c r="F6" s="92">
        <f>F11*F3</f>
        <v>52.130000000000109</v>
      </c>
      <c r="H6" s="93" t="s">
        <v>450</v>
      </c>
      <c r="I6" s="94"/>
      <c r="J6" s="94"/>
      <c r="K6" s="94"/>
      <c r="L6" s="61">
        <v>4</v>
      </c>
      <c r="M6" s="61" t="s">
        <v>178</v>
      </c>
      <c r="P6" s="61" t="s">
        <v>411</v>
      </c>
      <c r="Q6" s="92">
        <f>Q5-Q7</f>
        <v>6.5832865745143181</v>
      </c>
    </row>
    <row r="7" spans="1:18" x14ac:dyDescent="0.3">
      <c r="A7" s="61">
        <v>5</v>
      </c>
      <c r="B7" s="61" t="s">
        <v>179</v>
      </c>
      <c r="E7" s="61" t="s">
        <v>166</v>
      </c>
      <c r="F7" s="92">
        <f>F5-F6</f>
        <v>2916.2499999999995</v>
      </c>
      <c r="H7" s="95"/>
      <c r="I7" s="94"/>
      <c r="J7" s="94"/>
      <c r="K7" s="94"/>
      <c r="L7" s="61">
        <v>5</v>
      </c>
      <c r="M7" s="61" t="s">
        <v>179</v>
      </c>
      <c r="P7" s="61" t="s">
        <v>411</v>
      </c>
      <c r="Q7" s="92">
        <f>العميل!M43</f>
        <v>429.09051139574842</v>
      </c>
    </row>
    <row r="9" spans="1:18" x14ac:dyDescent="0.3">
      <c r="B9" s="65" t="s">
        <v>180</v>
      </c>
      <c r="M9" s="65" t="s">
        <v>180</v>
      </c>
    </row>
    <row r="10" spans="1:18" ht="39" x14ac:dyDescent="0.3">
      <c r="A10" s="61">
        <v>1</v>
      </c>
      <c r="B10" s="61" t="s">
        <v>181</v>
      </c>
      <c r="F10" s="96">
        <v>0.1</v>
      </c>
      <c r="G10" s="97" t="s">
        <v>197</v>
      </c>
      <c r="L10" s="61">
        <v>1</v>
      </c>
      <c r="M10" s="61" t="s">
        <v>208</v>
      </c>
      <c r="Q10" s="98">
        <f>Q4/Q3</f>
        <v>0.13467506560287856</v>
      </c>
      <c r="R10" s="99" t="s">
        <v>215</v>
      </c>
    </row>
    <row r="11" spans="1:18" ht="39" x14ac:dyDescent="0.3">
      <c r="A11" s="61">
        <v>2</v>
      </c>
      <c r="B11" s="61" t="s">
        <v>182</v>
      </c>
      <c r="F11" s="96">
        <v>1.5805590928385214E-2</v>
      </c>
      <c r="G11" s="97" t="s">
        <v>197</v>
      </c>
      <c r="L11" s="61">
        <v>2</v>
      </c>
      <c r="M11" s="61" t="s">
        <v>209</v>
      </c>
      <c r="Q11" s="98">
        <f>Q6/Q3</f>
        <v>1.3075567201307535E-2</v>
      </c>
      <c r="R11" s="99" t="s">
        <v>215</v>
      </c>
    </row>
    <row r="13" spans="1:18" x14ac:dyDescent="0.3">
      <c r="B13" s="65" t="s">
        <v>183</v>
      </c>
      <c r="M13" s="65" t="s">
        <v>210</v>
      </c>
    </row>
    <row r="14" spans="1:18" ht="39" x14ac:dyDescent="0.3">
      <c r="A14" s="61">
        <v>1</v>
      </c>
      <c r="B14" s="61" t="s">
        <v>184</v>
      </c>
      <c r="F14" s="96">
        <v>3.6499999999999998E-2</v>
      </c>
      <c r="G14" s="97" t="s">
        <v>197</v>
      </c>
      <c r="I14" s="143" t="s">
        <v>200</v>
      </c>
      <c r="J14" s="143"/>
      <c r="L14" s="61">
        <v>1</v>
      </c>
      <c r="M14" s="61" t="s">
        <v>211</v>
      </c>
      <c r="Q14" s="98">
        <f>F14*$I$16</f>
        <v>4.1993250000000003E-2</v>
      </c>
      <c r="R14" s="99" t="s">
        <v>215</v>
      </c>
    </row>
    <row r="15" spans="1:18" ht="39" x14ac:dyDescent="0.3">
      <c r="A15" s="61">
        <v>2</v>
      </c>
      <c r="B15" s="61" t="s">
        <v>185</v>
      </c>
      <c r="F15" s="96">
        <v>0.04</v>
      </c>
      <c r="G15" s="97" t="s">
        <v>197</v>
      </c>
      <c r="I15" s="143" t="s">
        <v>201</v>
      </c>
      <c r="J15" s="143"/>
      <c r="L15" s="61">
        <v>2</v>
      </c>
      <c r="M15" s="61" t="s">
        <v>212</v>
      </c>
      <c r="Q15" s="98">
        <f>F15*$I$16</f>
        <v>4.6020000000000005E-2</v>
      </c>
      <c r="R15" s="99" t="s">
        <v>215</v>
      </c>
    </row>
    <row r="16" spans="1:18" ht="26" x14ac:dyDescent="0.3">
      <c r="A16" s="61">
        <v>3</v>
      </c>
      <c r="B16" s="61" t="s">
        <v>186</v>
      </c>
      <c r="F16" s="98">
        <f>F36/F35</f>
        <v>8.4611661880368449E-2</v>
      </c>
      <c r="G16" s="97" t="s">
        <v>198</v>
      </c>
      <c r="I16" s="144">
        <v>1.1505000000000001</v>
      </c>
      <c r="J16" s="144"/>
      <c r="L16" s="61">
        <v>3</v>
      </c>
      <c r="M16" s="61" t="s">
        <v>213</v>
      </c>
      <c r="Q16" s="98">
        <f>F16*$I$16</f>
        <v>9.7345716993363904E-2</v>
      </c>
      <c r="R16" s="99" t="s">
        <v>215</v>
      </c>
    </row>
    <row r="17" spans="2:17" ht="26" x14ac:dyDescent="0.3">
      <c r="G17" s="97" t="s">
        <v>199</v>
      </c>
      <c r="I17" s="147" t="s">
        <v>202</v>
      </c>
      <c r="J17" s="147"/>
    </row>
    <row r="18" spans="2:17" x14ac:dyDescent="0.3">
      <c r="I18" s="147" t="s">
        <v>203</v>
      </c>
      <c r="J18" s="147"/>
    </row>
    <row r="19" spans="2:17" x14ac:dyDescent="0.3">
      <c r="I19" s="147" t="s">
        <v>204</v>
      </c>
      <c r="J19" s="147"/>
    </row>
    <row r="20" spans="2:17" x14ac:dyDescent="0.3">
      <c r="B20" s="65" t="s">
        <v>187</v>
      </c>
      <c r="F20" s="61" t="s">
        <v>166</v>
      </c>
      <c r="I20" s="146" t="s">
        <v>205</v>
      </c>
      <c r="J20" s="146"/>
      <c r="M20" s="65" t="s">
        <v>214</v>
      </c>
      <c r="Q20" s="61" t="s">
        <v>411</v>
      </c>
    </row>
    <row r="21" spans="2:17" x14ac:dyDescent="0.3">
      <c r="I21" s="145">
        <f>ABS(SUM(Q25,Q31,Q37)-العميل!R43)</f>
        <v>0.13805236917181674</v>
      </c>
      <c r="J21" s="145"/>
    </row>
    <row r="22" spans="2:17" x14ac:dyDescent="0.3">
      <c r="B22" s="100" t="s">
        <v>188</v>
      </c>
      <c r="M22" s="100" t="s">
        <v>188</v>
      </c>
    </row>
    <row r="23" spans="2:17" x14ac:dyDescent="0.3">
      <c r="B23" s="69" t="s">
        <v>189</v>
      </c>
      <c r="F23" s="92">
        <f>$F$3</f>
        <v>3298.2</v>
      </c>
      <c r="M23" s="68" t="s">
        <v>189</v>
      </c>
      <c r="Q23" s="92">
        <f>Q3</f>
        <v>503.48</v>
      </c>
    </row>
    <row r="24" spans="2:17" x14ac:dyDescent="0.3">
      <c r="B24" s="69" t="s">
        <v>190</v>
      </c>
      <c r="F24" s="92">
        <f>$F$14*F23</f>
        <v>120.38429999999998</v>
      </c>
      <c r="M24" s="68" t="s">
        <v>190</v>
      </c>
      <c r="Q24" s="92">
        <f>$Q$14*Q23</f>
        <v>21.142761510000003</v>
      </c>
    </row>
    <row r="25" spans="2:17" x14ac:dyDescent="0.3">
      <c r="B25" s="69" t="s">
        <v>191</v>
      </c>
      <c r="F25" s="92">
        <f>SUMIF(العميل!$G$12:$G$42,"HV",العميل!$P$12:$P$42)</f>
        <v>1083.303552034185</v>
      </c>
      <c r="M25" s="68" t="s">
        <v>191</v>
      </c>
      <c r="Q25" s="92">
        <f>SUMIF(العميل!$G$12:$G$42,"HV",العميل!$R$12:$R$42)</f>
        <v>128.18911059542506</v>
      </c>
    </row>
    <row r="26" spans="2:17" x14ac:dyDescent="0.3">
      <c r="B26" s="69" t="s">
        <v>192</v>
      </c>
      <c r="F26" s="92">
        <f>F23-F24-F25</f>
        <v>2094.5121479658146</v>
      </c>
      <c r="M26" s="68" t="s">
        <v>192</v>
      </c>
      <c r="Q26" s="92">
        <f>Q23-Q24-Q25</f>
        <v>354.14812789457494</v>
      </c>
    </row>
    <row r="28" spans="2:17" x14ac:dyDescent="0.3">
      <c r="B28" s="100" t="s">
        <v>193</v>
      </c>
      <c r="M28" s="100" t="s">
        <v>193</v>
      </c>
    </row>
    <row r="29" spans="2:17" x14ac:dyDescent="0.3">
      <c r="B29" s="69" t="s">
        <v>189</v>
      </c>
      <c r="F29" s="92">
        <f>F26</f>
        <v>2094.5121479658146</v>
      </c>
      <c r="M29" s="69" t="s">
        <v>189</v>
      </c>
      <c r="Q29" s="92">
        <f>Q26</f>
        <v>354.14812789457494</v>
      </c>
    </row>
    <row r="30" spans="2:17" x14ac:dyDescent="0.3">
      <c r="B30" s="69" t="s">
        <v>190</v>
      </c>
      <c r="F30" s="92">
        <f>$F$15*F29</f>
        <v>83.780485918632593</v>
      </c>
      <c r="M30" s="69" t="s">
        <v>190</v>
      </c>
      <c r="Q30" s="92">
        <f>$Q$15*Q29</f>
        <v>16.29789684570834</v>
      </c>
    </row>
    <row r="31" spans="2:17" x14ac:dyDescent="0.3">
      <c r="B31" s="69" t="s">
        <v>194</v>
      </c>
      <c r="F31" s="92">
        <f>SUMIF(العميل!$G$12:$G$42,"MV",العميل!$P$12:$P$42)</f>
        <v>525.65015804564962</v>
      </c>
      <c r="M31" s="69" t="s">
        <v>194</v>
      </c>
      <c r="Q31" s="92">
        <f>SUMIF(العميل!$G$12:$G$42,"MV",العميل!$R$12:$R$42)</f>
        <v>25.915154582184542</v>
      </c>
    </row>
    <row r="32" spans="2:17" x14ac:dyDescent="0.3">
      <c r="B32" s="69" t="s">
        <v>192</v>
      </c>
      <c r="F32" s="92">
        <f>F29-F30-F31</f>
        <v>1485.0815040015323</v>
      </c>
      <c r="M32" s="69" t="s">
        <v>192</v>
      </c>
      <c r="Q32" s="92">
        <f>Q29-Q30-Q31</f>
        <v>311.93507646668206</v>
      </c>
    </row>
    <row r="34" spans="2:17" x14ac:dyDescent="0.3">
      <c r="B34" s="100" t="s">
        <v>195</v>
      </c>
      <c r="M34" s="100" t="s">
        <v>195</v>
      </c>
    </row>
    <row r="35" spans="2:17" x14ac:dyDescent="0.3">
      <c r="B35" s="69" t="s">
        <v>189</v>
      </c>
      <c r="F35" s="92">
        <f>F32</f>
        <v>1485.0815040015323</v>
      </c>
      <c r="M35" s="69" t="s">
        <v>189</v>
      </c>
      <c r="Q35" s="92">
        <f>Q32</f>
        <v>311.93507646668206</v>
      </c>
    </row>
    <row r="36" spans="2:17" x14ac:dyDescent="0.3">
      <c r="B36" s="69" t="s">
        <v>190</v>
      </c>
      <c r="F36" s="92">
        <f>F35-F37</f>
        <v>125.65521408136669</v>
      </c>
      <c r="G36" s="97"/>
      <c r="M36" s="69" t="s">
        <v>190</v>
      </c>
      <c r="Q36" s="92">
        <f>Q35*$Q$16</f>
        <v>30.365543674028959</v>
      </c>
    </row>
    <row r="37" spans="2:17" x14ac:dyDescent="0.3">
      <c r="B37" s="69" t="s">
        <v>196</v>
      </c>
      <c r="F37" s="92">
        <f>SUMIF(العميل!$G$12:$G$42,"LV",العميل!$P$12:$P$42)</f>
        <v>1359.4262899201656</v>
      </c>
      <c r="M37" s="69" t="s">
        <v>196</v>
      </c>
      <c r="Q37" s="92">
        <f>Q35-Q36</f>
        <v>281.56953279265309</v>
      </c>
    </row>
  </sheetData>
  <mergeCells count="8">
    <mergeCell ref="I14:J14"/>
    <mergeCell ref="I15:J15"/>
    <mergeCell ref="I16:J16"/>
    <mergeCell ref="I21:J21"/>
    <mergeCell ref="I20:J20"/>
    <mergeCell ref="I17:J17"/>
    <mergeCell ref="I18:J18"/>
    <mergeCell ref="I19:J1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7E16-637D-4D00-9EF5-6DF3427D106E}">
  <dimension ref="A2:V52"/>
  <sheetViews>
    <sheetView showGridLines="0" rightToLeft="1" tabSelected="1" zoomScale="132" zoomScaleNormal="132" workbookViewId="0">
      <pane xSplit="4" topLeftCell="E1" activePane="topRight" state="frozen"/>
      <selection pane="topRight" activeCell="K52" sqref="K52"/>
    </sheetView>
  </sheetViews>
  <sheetFormatPr defaultColWidth="9.1796875" defaultRowHeight="13" x14ac:dyDescent="0.3"/>
  <cols>
    <col min="1" max="1" width="5.1796875" style="61" customWidth="1"/>
    <col min="2" max="2" width="9.1796875" style="13"/>
    <col min="3" max="14" width="9.1796875" style="61"/>
    <col min="15" max="15" width="9.1796875" style="101"/>
    <col min="16" max="17" width="9.1796875" style="61"/>
    <col min="18" max="20" width="10.26953125" style="61" customWidth="1"/>
    <col min="21" max="21" width="10.26953125" style="61" hidden="1" customWidth="1"/>
    <col min="22" max="22" width="10.26953125" style="61" customWidth="1"/>
    <col min="23" max="16384" width="9.1796875" style="61"/>
  </cols>
  <sheetData>
    <row r="2" spans="1:22" x14ac:dyDescent="0.3">
      <c r="H2" s="65" t="s">
        <v>221</v>
      </c>
    </row>
    <row r="3" spans="1:22" x14ac:dyDescent="0.3">
      <c r="H3" s="61" t="s">
        <v>470</v>
      </c>
    </row>
    <row r="4" spans="1:22" x14ac:dyDescent="0.3">
      <c r="H4" s="61" t="s">
        <v>471</v>
      </c>
    </row>
    <row r="6" spans="1:22" x14ac:dyDescent="0.3">
      <c r="A6" s="99"/>
      <c r="B6" s="62" t="s">
        <v>216</v>
      </c>
    </row>
    <row r="7" spans="1:22" ht="78" x14ac:dyDescent="0.3">
      <c r="A7" s="99">
        <v>1</v>
      </c>
      <c r="B7" s="29" t="s">
        <v>217</v>
      </c>
    </row>
    <row r="8" spans="1:22" ht="91" x14ac:dyDescent="0.3">
      <c r="A8" s="99">
        <v>2</v>
      </c>
      <c r="B8" s="29" t="s">
        <v>218</v>
      </c>
    </row>
    <row r="9" spans="1:22" ht="117" x14ac:dyDescent="0.3">
      <c r="A9" s="99"/>
      <c r="B9" s="29" t="s">
        <v>219</v>
      </c>
    </row>
    <row r="10" spans="1:22" ht="221" x14ac:dyDescent="0.3">
      <c r="A10" s="99">
        <v>3</v>
      </c>
      <c r="B10" s="29" t="s">
        <v>451</v>
      </c>
    </row>
    <row r="12" spans="1:22" s="102" customFormat="1" ht="24" customHeight="1" x14ac:dyDescent="0.35">
      <c r="B12" s="148" t="s">
        <v>220</v>
      </c>
      <c r="C12" s="148"/>
      <c r="D12" s="148"/>
      <c r="E12" s="149" t="s">
        <v>222</v>
      </c>
      <c r="F12" s="149"/>
      <c r="G12" s="149"/>
      <c r="H12" s="149"/>
      <c r="I12" s="149"/>
      <c r="J12" s="149"/>
      <c r="K12" s="149"/>
      <c r="L12" s="149"/>
      <c r="M12" s="149"/>
      <c r="N12" s="149" t="s">
        <v>227</v>
      </c>
      <c r="O12" s="149"/>
      <c r="P12" s="149"/>
      <c r="Q12" s="149"/>
      <c r="R12" s="150" t="s">
        <v>228</v>
      </c>
      <c r="S12" s="150"/>
      <c r="T12" s="150"/>
      <c r="U12" s="150" t="s">
        <v>22</v>
      </c>
    </row>
    <row r="13" spans="1:22" s="12" customFormat="1" ht="39" x14ac:dyDescent="0.35">
      <c r="B13" s="148"/>
      <c r="C13" s="148"/>
      <c r="D13" s="148"/>
      <c r="E13" s="148" t="s">
        <v>223</v>
      </c>
      <c r="F13" s="148" t="s">
        <v>224</v>
      </c>
      <c r="G13" s="148"/>
      <c r="H13" s="148" t="s">
        <v>225</v>
      </c>
      <c r="I13" s="148"/>
      <c r="J13" s="148" t="s">
        <v>229</v>
      </c>
      <c r="K13" s="148" t="s">
        <v>52</v>
      </c>
      <c r="L13" s="148"/>
      <c r="M13" s="148" t="s">
        <v>457</v>
      </c>
      <c r="N13" s="148" t="s">
        <v>231</v>
      </c>
      <c r="O13" s="148" t="s">
        <v>232</v>
      </c>
      <c r="P13" s="148"/>
      <c r="Q13" s="148" t="s">
        <v>456</v>
      </c>
      <c r="R13" s="12" t="s">
        <v>454</v>
      </c>
      <c r="S13" s="12" t="s">
        <v>110</v>
      </c>
      <c r="T13" s="148" t="s">
        <v>458</v>
      </c>
      <c r="U13" s="150"/>
    </row>
    <row r="14" spans="1:22" s="103" customFormat="1" ht="52" x14ac:dyDescent="0.35">
      <c r="B14" s="148"/>
      <c r="C14" s="148"/>
      <c r="D14" s="148"/>
      <c r="E14" s="148"/>
      <c r="F14" s="103" t="s">
        <v>226</v>
      </c>
      <c r="G14" s="103" t="s">
        <v>230</v>
      </c>
      <c r="H14" s="151" t="s">
        <v>452</v>
      </c>
      <c r="I14" s="151"/>
      <c r="J14" s="148"/>
      <c r="K14" s="103" t="s">
        <v>226</v>
      </c>
      <c r="L14" s="103" t="s">
        <v>230</v>
      </c>
      <c r="M14" s="148"/>
      <c r="N14" s="148"/>
      <c r="O14" s="151" t="s">
        <v>453</v>
      </c>
      <c r="P14" s="151" t="s">
        <v>18</v>
      </c>
      <c r="Q14" s="148"/>
      <c r="R14" s="103" t="s">
        <v>453</v>
      </c>
      <c r="S14" s="103" t="s">
        <v>233</v>
      </c>
      <c r="T14" s="148"/>
      <c r="U14" s="150"/>
    </row>
    <row r="15" spans="1:22" s="103" customFormat="1" x14ac:dyDescent="0.35">
      <c r="B15" s="63"/>
      <c r="M15" s="12"/>
      <c r="O15" s="104"/>
    </row>
    <row r="16" spans="1:22" ht="52" x14ac:dyDescent="0.3">
      <c r="B16" s="64" t="s">
        <v>234</v>
      </c>
      <c r="F16" s="105">
        <v>0.39</v>
      </c>
      <c r="G16" s="106">
        <f>F16*$E$44</f>
        <v>2779.0725300000004</v>
      </c>
      <c r="H16" s="107">
        <f>G16/SUM($G$17,$G$21,$G$26,$G$31,$G$36,$G$41)</f>
        <v>0.39000000000000007</v>
      </c>
      <c r="I16" s="106">
        <f>H16*SUM($E$45,$E$46)</f>
        <v>190.35744000000003</v>
      </c>
      <c r="J16" s="106">
        <f>G16+I16</f>
        <v>2969.4299700000006</v>
      </c>
      <c r="K16" s="105">
        <v>0</v>
      </c>
      <c r="L16" s="106">
        <f>$E$48*K16</f>
        <v>0</v>
      </c>
      <c r="M16" s="106">
        <f>E16+G16+I16+L16</f>
        <v>2969.4299700000006</v>
      </c>
      <c r="O16" s="107">
        <f>M16/$M$50</f>
        <v>0.4572176350389876</v>
      </c>
      <c r="P16" s="106">
        <f>O16*$N$50</f>
        <v>1462.4870140320929</v>
      </c>
      <c r="Q16" s="106">
        <f>M16-P16</f>
        <v>1506.9429559679077</v>
      </c>
      <c r="R16" s="106">
        <f>'متطلبات الإيرادات'!$G$59*الأصول!M16/الأصول!$M$50</f>
        <v>680.08242740948651</v>
      </c>
      <c r="S16" s="106">
        <f>'متطلبات الإيرادات'!$G$60*النفقات!O14/النفقات!$O$66</f>
        <v>21.458937071559919</v>
      </c>
      <c r="T16" s="106">
        <f>Q16+R16+S16</f>
        <v>2208.4843204489539</v>
      </c>
      <c r="U16" s="106">
        <f>T16</f>
        <v>2208.4843204489539</v>
      </c>
      <c r="V16" s="106"/>
    </row>
    <row r="17" spans="2:22" x14ac:dyDescent="0.3">
      <c r="D17" s="61" t="s">
        <v>243</v>
      </c>
      <c r="G17" s="106">
        <f>SUM(G16)</f>
        <v>2779.0725300000004</v>
      </c>
      <c r="H17" s="101"/>
      <c r="I17" s="106">
        <f>SUM(I16)</f>
        <v>190.35744000000003</v>
      </c>
      <c r="J17" s="106">
        <f>SUM(J16)</f>
        <v>2969.4299700000006</v>
      </c>
      <c r="L17" s="106">
        <f>SUM(L16)</f>
        <v>0</v>
      </c>
      <c r="M17" s="106">
        <f>SUM(M16)</f>
        <v>2969.4299700000006</v>
      </c>
      <c r="P17" s="106">
        <f t="shared" ref="P17:U17" si="0">SUM(P16)</f>
        <v>1462.4870140320929</v>
      </c>
      <c r="Q17" s="106">
        <f t="shared" si="0"/>
        <v>1506.9429559679077</v>
      </c>
      <c r="R17" s="106">
        <f t="shared" si="0"/>
        <v>680.08242740948651</v>
      </c>
      <c r="S17" s="106">
        <f t="shared" si="0"/>
        <v>21.458937071559919</v>
      </c>
      <c r="T17" s="106">
        <f t="shared" si="0"/>
        <v>2208.4843204489539</v>
      </c>
      <c r="U17" s="106">
        <f t="shared" si="0"/>
        <v>2208.4843204489539</v>
      </c>
      <c r="V17" s="106"/>
    </row>
    <row r="18" spans="2:22" ht="65" x14ac:dyDescent="0.3">
      <c r="B18" s="64" t="s">
        <v>235</v>
      </c>
      <c r="H18" s="101"/>
    </row>
    <row r="19" spans="2:22" ht="39" x14ac:dyDescent="0.3">
      <c r="B19" s="13" t="s">
        <v>60</v>
      </c>
      <c r="E19" s="108"/>
      <c r="F19" s="105">
        <v>0.31</v>
      </c>
      <c r="G19" s="106">
        <f>F19*$E$44</f>
        <v>2209.0063700000001</v>
      </c>
      <c r="H19" s="107">
        <f t="shared" ref="H19:H20" si="1">G19/SUM($G$17,$G$21,$G$26,$G$31,$G$36,$G$41)</f>
        <v>0.31000000000000005</v>
      </c>
      <c r="I19" s="106">
        <f t="shared" ref="I19:I20" si="2">H19*SUM($E$45,$E$46)</f>
        <v>151.30976000000004</v>
      </c>
      <c r="J19" s="106">
        <f t="shared" ref="J19:J20" si="3">G19+I19</f>
        <v>2360.3161300000002</v>
      </c>
      <c r="K19" s="105">
        <v>0</v>
      </c>
      <c r="L19" s="106">
        <f>$E$48*K19</f>
        <v>0</v>
      </c>
      <c r="M19" s="106">
        <f t="shared" ref="M19:M20" si="4">E19+G19+I19+L19</f>
        <v>2360.3161300000002</v>
      </c>
      <c r="O19" s="107">
        <f t="shared" ref="O19:O20" si="5">M19/$M$50</f>
        <v>0.36342940221047726</v>
      </c>
      <c r="P19" s="106">
        <f t="shared" ref="P19:P20" si="6">O19*$N$50</f>
        <v>1162.4896778203813</v>
      </c>
      <c r="Q19" s="106">
        <f t="shared" ref="Q19:Q20" si="7">M19-P19</f>
        <v>1197.8264521796189</v>
      </c>
      <c r="R19" s="106">
        <f>'متطلبات الإيرادات'!$G$59*الأصول!M19/الأصول!$M$50</f>
        <v>540.57833973574566</v>
      </c>
      <c r="S19" s="106">
        <f>'متطلبات الإيرادات'!$G$60*النفقات!$O$19/النفقات!$O$66*J19/$J$21</f>
        <v>24.950097601653798</v>
      </c>
      <c r="T19" s="106">
        <f t="shared" ref="T19:T20" si="8">Q19+R19+S19</f>
        <v>1763.3548895170184</v>
      </c>
      <c r="U19" s="106">
        <f>'إعادة تخصيص الجهد'!K27</f>
        <v>522.8145269932013</v>
      </c>
      <c r="V19" s="106"/>
    </row>
    <row r="20" spans="2:22" ht="39" x14ac:dyDescent="0.3">
      <c r="B20" s="13" t="s">
        <v>236</v>
      </c>
      <c r="E20" s="109"/>
      <c r="F20" s="105">
        <v>1E-3</v>
      </c>
      <c r="G20" s="106">
        <f>F20*$E$44</f>
        <v>7.1258270000000001</v>
      </c>
      <c r="H20" s="107">
        <f t="shared" si="1"/>
        <v>1E-3</v>
      </c>
      <c r="I20" s="106">
        <f t="shared" si="2"/>
        <v>0.48809600000000003</v>
      </c>
      <c r="J20" s="106">
        <f t="shared" si="3"/>
        <v>7.6139229999999998</v>
      </c>
      <c r="K20" s="105">
        <v>0</v>
      </c>
      <c r="L20" s="106">
        <f>$E$48*K20</f>
        <v>0</v>
      </c>
      <c r="M20" s="106">
        <f t="shared" si="4"/>
        <v>7.6139229999999998</v>
      </c>
      <c r="O20" s="107">
        <f t="shared" si="5"/>
        <v>1.1723529103563782E-3</v>
      </c>
      <c r="P20" s="106">
        <f t="shared" si="6"/>
        <v>3.749966702646391</v>
      </c>
      <c r="Q20" s="106">
        <f t="shared" si="7"/>
        <v>3.8639562973536088</v>
      </c>
      <c r="R20" s="106">
        <f>'متطلبات الإيرادات'!$G$59*الأصول!M20/الأصول!$M$50</f>
        <v>1.74380109592176</v>
      </c>
      <c r="S20" s="106">
        <f>'متطلبات الإيرادات'!$G$60*النفقات!$O$19/النفقات!$O$66*J20/$J$21</f>
        <v>8.0484185811786429E-2</v>
      </c>
      <c r="T20" s="106">
        <f t="shared" si="8"/>
        <v>5.6882415790871557</v>
      </c>
      <c r="U20" s="106">
        <f>T20</f>
        <v>5.6882415790871557</v>
      </c>
      <c r="V20" s="106"/>
    </row>
    <row r="21" spans="2:22" x14ac:dyDescent="0.3">
      <c r="D21" s="61" t="s">
        <v>243</v>
      </c>
      <c r="G21" s="106">
        <f>SUM(G19:G20)</f>
        <v>2216.1321969999999</v>
      </c>
      <c r="H21" s="101"/>
      <c r="I21" s="106">
        <f>SUM(I19:I20)</f>
        <v>151.79785600000005</v>
      </c>
      <c r="J21" s="106">
        <f>SUM(J19:J20)</f>
        <v>2367.930053</v>
      </c>
      <c r="L21" s="106">
        <f>SUM(L19:L20)</f>
        <v>0</v>
      </c>
      <c r="M21" s="106">
        <f>SUM(M19:M20)</f>
        <v>2367.930053</v>
      </c>
      <c r="P21" s="106">
        <f t="shared" ref="P21:U21" si="9">SUM(P19:P20)</f>
        <v>1166.2396445230277</v>
      </c>
      <c r="Q21" s="106">
        <f t="shared" si="9"/>
        <v>1201.6904084769724</v>
      </c>
      <c r="R21" s="106">
        <f t="shared" si="9"/>
        <v>542.32214083166741</v>
      </c>
      <c r="S21" s="106">
        <f t="shared" si="9"/>
        <v>25.030581787465586</v>
      </c>
      <c r="T21" s="106">
        <f t="shared" si="9"/>
        <v>1769.0431310961055</v>
      </c>
      <c r="U21" s="106">
        <f t="shared" si="9"/>
        <v>528.50276857228846</v>
      </c>
      <c r="V21" s="106"/>
    </row>
    <row r="22" spans="2:22" x14ac:dyDescent="0.3">
      <c r="H22" s="101"/>
    </row>
    <row r="23" spans="2:22" ht="130" x14ac:dyDescent="0.3">
      <c r="B23" s="64" t="s">
        <v>237</v>
      </c>
      <c r="H23" s="101"/>
    </row>
    <row r="24" spans="2:22" ht="39" x14ac:dyDescent="0.3">
      <c r="B24" s="13" t="s">
        <v>60</v>
      </c>
      <c r="E24" s="108"/>
      <c r="F24" s="105">
        <v>0.1</v>
      </c>
      <c r="G24" s="106">
        <f>F24*$E$44</f>
        <v>712.58270000000005</v>
      </c>
      <c r="H24" s="107">
        <f t="shared" ref="H24:H25" si="10">G24/SUM($G$17,$G$21,$G$26,$G$31,$G$36,$G$41)</f>
        <v>0.10000000000000002</v>
      </c>
      <c r="I24" s="106">
        <f t="shared" ref="I24:I25" si="11">H24*SUM($E$45,$E$46)</f>
        <v>48.80960000000001</v>
      </c>
      <c r="J24" s="106">
        <f t="shared" ref="J24:J25" si="12">G24+I24</f>
        <v>761.39230000000009</v>
      </c>
      <c r="K24" s="105">
        <v>0.42</v>
      </c>
      <c r="L24" s="106">
        <f>$E$48*K24</f>
        <v>-470.13006596263762</v>
      </c>
      <c r="M24" s="106">
        <f t="shared" ref="M24:M25" si="13">E24+G24+I24+L24</f>
        <v>291.26223403736248</v>
      </c>
      <c r="O24" s="107">
        <f t="shared" ref="O24:O25" si="14">M24/$M$50</f>
        <v>4.4847068685958932E-2</v>
      </c>
      <c r="P24" s="106">
        <f t="shared" ref="P24:P25" si="15">O24*$N$50</f>
        <v>143.45084385257243</v>
      </c>
      <c r="Q24" s="106">
        <f t="shared" ref="Q24:Q25" si="16">M24-P24</f>
        <v>147.81139018479004</v>
      </c>
      <c r="R24" s="106">
        <f>'متطلبات الإيرادات'!$G$59*الأصول!M24/الأصول!$M$50</f>
        <v>66.707189305036692</v>
      </c>
      <c r="S24" s="106">
        <f>'متطلبات الإيرادات'!$G$60*النفقات!$O$25/النفقات!$O$66*J24/$J$26</f>
        <v>6.3104966564783096</v>
      </c>
      <c r="T24" s="106">
        <f t="shared" ref="T24:T25" si="17">Q24+R24+S24</f>
        <v>220.82907614630503</v>
      </c>
      <c r="U24" s="106">
        <f>'إعادة تخصيص الجهد'!$K$28*الأصول!T24/(الأصول!T24+الأصول!T29)</f>
        <v>47.90205209282589</v>
      </c>
      <c r="V24" s="106"/>
    </row>
    <row r="25" spans="2:22" ht="39" x14ac:dyDescent="0.3">
      <c r="B25" s="13" t="s">
        <v>236</v>
      </c>
      <c r="E25" s="109"/>
      <c r="F25" s="105">
        <v>0.02</v>
      </c>
      <c r="G25" s="106">
        <f>F25*$E$44</f>
        <v>142.51654000000002</v>
      </c>
      <c r="H25" s="107">
        <f t="shared" si="10"/>
        <v>2.0000000000000004E-2</v>
      </c>
      <c r="I25" s="106">
        <f t="shared" si="11"/>
        <v>9.7619200000000017</v>
      </c>
      <c r="J25" s="106">
        <f t="shared" si="12"/>
        <v>152.27846000000002</v>
      </c>
      <c r="K25" s="105">
        <v>0.1</v>
      </c>
      <c r="L25" s="106">
        <f>$E$48*K25</f>
        <v>-111.93572999110421</v>
      </c>
      <c r="M25" s="106">
        <f t="shared" si="13"/>
        <v>40.342730008895813</v>
      </c>
      <c r="O25" s="107">
        <f t="shared" si="14"/>
        <v>6.2117671714897304E-3</v>
      </c>
      <c r="P25" s="106">
        <f t="shared" si="15"/>
        <v>19.869375383388125</v>
      </c>
      <c r="Q25" s="106">
        <f t="shared" si="16"/>
        <v>20.473354625507689</v>
      </c>
      <c r="R25" s="106">
        <f>'متطلبات الإيرادات'!$G$59*الأصول!M25/الأصول!$M$50</f>
        <v>9.2396123262591701</v>
      </c>
      <c r="S25" s="106">
        <f>'متطلبات الإيرادات'!$G$60*النفقات!$O$25/النفقات!$O$66*J25/$J$26</f>
        <v>1.2620993312956621</v>
      </c>
      <c r="T25" s="106">
        <f t="shared" si="17"/>
        <v>30.975066283062521</v>
      </c>
      <c r="U25" s="106">
        <f>T25</f>
        <v>30.975066283062521</v>
      </c>
      <c r="V25" s="106"/>
    </row>
    <row r="26" spans="2:22" x14ac:dyDescent="0.3">
      <c r="D26" s="61" t="s">
        <v>243</v>
      </c>
      <c r="G26" s="106">
        <f>SUM(G24:G25)</f>
        <v>855.09924000000001</v>
      </c>
      <c r="I26" s="106">
        <f>SUM(I24:I25)</f>
        <v>58.571520000000014</v>
      </c>
      <c r="J26" s="106">
        <f>SUM(J24:J25)</f>
        <v>913.67076000000009</v>
      </c>
      <c r="L26" s="106">
        <f>SUM(L24:L25)</f>
        <v>-582.06579595374183</v>
      </c>
      <c r="M26" s="106">
        <f>SUM(M24:M25)</f>
        <v>331.60496404625826</v>
      </c>
      <c r="P26" s="106">
        <f t="shared" ref="P26:U26" si="18">SUM(P24:P25)</f>
        <v>163.32021923596056</v>
      </c>
      <c r="Q26" s="106">
        <f t="shared" si="18"/>
        <v>168.28474481029772</v>
      </c>
      <c r="R26" s="106">
        <f t="shared" si="18"/>
        <v>75.94680163129587</v>
      </c>
      <c r="S26" s="106">
        <f t="shared" si="18"/>
        <v>7.5725959877739717</v>
      </c>
      <c r="T26" s="106">
        <f t="shared" si="18"/>
        <v>251.80414242936754</v>
      </c>
      <c r="U26" s="106">
        <f t="shared" si="18"/>
        <v>78.877118375888415</v>
      </c>
      <c r="V26" s="106"/>
    </row>
    <row r="28" spans="2:22" ht="117" x14ac:dyDescent="0.3">
      <c r="B28" s="64" t="s">
        <v>238</v>
      </c>
    </row>
    <row r="29" spans="2:22" ht="39" x14ac:dyDescent="0.3">
      <c r="B29" s="13" t="s">
        <v>60</v>
      </c>
      <c r="E29" s="108"/>
      <c r="F29" s="105">
        <v>0.12</v>
      </c>
      <c r="G29" s="106">
        <f t="shared" ref="G29:G30" si="19">F29*$E$44</f>
        <v>855.09924000000001</v>
      </c>
      <c r="H29" s="107">
        <f t="shared" ref="H29:H30" si="20">G29/SUM($G$17,$G$21,$G$26,$G$31,$G$36,$G$41)</f>
        <v>0.12000000000000001</v>
      </c>
      <c r="I29" s="106">
        <f t="shared" ref="I29:I30" si="21">H29*SUM($E$45,$E$46)</f>
        <v>58.571520000000007</v>
      </c>
      <c r="J29" s="106">
        <f t="shared" ref="J29:J30" si="22">G29+I29</f>
        <v>913.67075999999997</v>
      </c>
      <c r="K29" s="105">
        <v>0.14000000000000001</v>
      </c>
      <c r="L29" s="106">
        <f>$E$48*K29</f>
        <v>-156.7100219875459</v>
      </c>
      <c r="M29" s="106">
        <f t="shared" ref="M29:M30" si="23">E29+G29+I29+L29</f>
        <v>756.96073801245404</v>
      </c>
      <c r="O29" s="107">
        <f t="shared" ref="O29:O30" si="24">M29/$M$50</f>
        <v>0.11655294179287241</v>
      </c>
      <c r="P29" s="106">
        <f t="shared" ref="P29:P30" si="25">O29*$N$50</f>
        <v>372.81406218021135</v>
      </c>
      <c r="Q29" s="106">
        <f t="shared" ref="Q29:Q30" si="26">M29-P29</f>
        <v>384.14667583224269</v>
      </c>
      <c r="R29" s="106">
        <f>'متطلبات الإيرادات'!$G$59*الأصول!M29/الأصول!$M$50</f>
        <v>173.36515808156472</v>
      </c>
      <c r="S29" s="106">
        <f>'متطلبات الإيرادات'!$G$60*النفقات!$O$31/النفقات!$O$66*J29/$J$31</f>
        <v>2.8905796291337174</v>
      </c>
      <c r="T29" s="106">
        <f t="shared" ref="T29:T30" si="27">Q29+R29+S29</f>
        <v>560.40241354294119</v>
      </c>
      <c r="U29" s="106">
        <f>'إعادة تخصيص الجهد'!$K$28*الأصول!T29/(الأصول!T24+الأصول!T29)</f>
        <v>121.56200657514046</v>
      </c>
      <c r="V29" s="106"/>
    </row>
    <row r="30" spans="2:22" ht="39" x14ac:dyDescent="0.3">
      <c r="B30" s="13" t="s">
        <v>236</v>
      </c>
      <c r="E30" s="109"/>
      <c r="F30" s="105">
        <v>0</v>
      </c>
      <c r="G30" s="106">
        <f t="shared" si="19"/>
        <v>0</v>
      </c>
      <c r="H30" s="107">
        <f t="shared" si="20"/>
        <v>0</v>
      </c>
      <c r="I30" s="106">
        <f t="shared" si="21"/>
        <v>0</v>
      </c>
      <c r="J30" s="106">
        <f t="shared" si="22"/>
        <v>0</v>
      </c>
      <c r="K30" s="105">
        <v>0</v>
      </c>
      <c r="L30" s="106">
        <f>$E$48*K30</f>
        <v>0</v>
      </c>
      <c r="M30" s="106">
        <f t="shared" si="23"/>
        <v>0</v>
      </c>
      <c r="O30" s="107">
        <f t="shared" si="24"/>
        <v>0</v>
      </c>
      <c r="P30" s="106">
        <f t="shared" si="25"/>
        <v>0</v>
      </c>
      <c r="Q30" s="106">
        <f t="shared" si="26"/>
        <v>0</v>
      </c>
      <c r="R30" s="106">
        <f>'متطلبات الإيرادات'!$G$59*الأصول!M30/الأصول!$M$50</f>
        <v>0</v>
      </c>
      <c r="S30" s="106">
        <f>'متطلبات الإيرادات'!$G$60*النفقات!$O$31/النفقات!$O$66*J30/$J$31</f>
        <v>0</v>
      </c>
      <c r="T30" s="106">
        <f t="shared" si="27"/>
        <v>0</v>
      </c>
      <c r="U30" s="106">
        <f>T30</f>
        <v>0</v>
      </c>
      <c r="V30" s="106"/>
    </row>
    <row r="31" spans="2:22" x14ac:dyDescent="0.3">
      <c r="D31" s="61" t="s">
        <v>243</v>
      </c>
      <c r="G31" s="106">
        <f>SUM(G29:G30)</f>
        <v>855.09924000000001</v>
      </c>
      <c r="H31" s="101"/>
      <c r="I31" s="106">
        <f>SUM(I29:I30)</f>
        <v>58.571520000000007</v>
      </c>
      <c r="J31" s="106">
        <f>SUM(J29:J30)</f>
        <v>913.67075999999997</v>
      </c>
      <c r="L31" s="106">
        <f>SUM(L29:L30)</f>
        <v>-156.7100219875459</v>
      </c>
      <c r="M31" s="106">
        <f>SUM(M29:M30)</f>
        <v>756.96073801245404</v>
      </c>
      <c r="P31" s="106">
        <f t="shared" ref="P31:U31" si="28">SUM(P29:P30)</f>
        <v>372.81406218021135</v>
      </c>
      <c r="Q31" s="106">
        <f t="shared" si="28"/>
        <v>384.14667583224269</v>
      </c>
      <c r="R31" s="106">
        <f t="shared" si="28"/>
        <v>173.36515808156472</v>
      </c>
      <c r="S31" s="106">
        <f t="shared" si="28"/>
        <v>2.8905796291337174</v>
      </c>
      <c r="T31" s="106">
        <f t="shared" si="28"/>
        <v>560.40241354294119</v>
      </c>
      <c r="U31" s="106">
        <f t="shared" si="28"/>
        <v>121.56200657514046</v>
      </c>
      <c r="V31" s="106"/>
    </row>
    <row r="32" spans="2:22" x14ac:dyDescent="0.3">
      <c r="H32" s="101"/>
    </row>
    <row r="33" spans="2:22" ht="117" x14ac:dyDescent="0.3">
      <c r="B33" s="64" t="s">
        <v>238</v>
      </c>
      <c r="H33" s="101"/>
    </row>
    <row r="34" spans="2:22" ht="39" x14ac:dyDescent="0.3">
      <c r="B34" s="13" t="s">
        <v>60</v>
      </c>
      <c r="E34" s="108"/>
      <c r="F34" s="105">
        <v>8.9999999999999993E-3</v>
      </c>
      <c r="G34" s="106">
        <f t="shared" ref="G34:G35" si="29">F34*$E$44</f>
        <v>64.132442999999995</v>
      </c>
      <c r="H34" s="107">
        <f t="shared" ref="H34:H35" si="30">G34/SUM($G$17,$G$21,$G$26,$G$31,$G$36,$G$41)</f>
        <v>8.9999999999999993E-3</v>
      </c>
      <c r="I34" s="106">
        <f t="shared" ref="I34:I35" si="31">H34*SUM($E$45,$E$46)</f>
        <v>4.3928639999999994</v>
      </c>
      <c r="J34" s="106">
        <f t="shared" ref="J34:J35" si="32">G34+I34</f>
        <v>68.525306999999998</v>
      </c>
      <c r="K34" s="105">
        <v>0.04</v>
      </c>
      <c r="L34" s="106">
        <f>$E$48*K34</f>
        <v>-44.774291996441683</v>
      </c>
      <c r="M34" s="106">
        <f t="shared" ref="M34:M35" si="33">E34+G34+I34+L34</f>
        <v>23.751015003558315</v>
      </c>
      <c r="O34" s="107">
        <f t="shared" ref="O34:O35" si="34">M34/$M$50</f>
        <v>3.6570597789522688E-3</v>
      </c>
      <c r="P34" s="106">
        <f t="shared" ref="P34:P35" si="35">O34*$N$50</f>
        <v>11.697716856001636</v>
      </c>
      <c r="Q34" s="106">
        <f t="shared" ref="Q34:Q35" si="36">M34-P34</f>
        <v>12.05329814755668</v>
      </c>
      <c r="R34" s="106">
        <f>'متطلبات الإيرادات'!$G$59*الأصول!M34/الأصول!$M$50</f>
        <v>5.4396460264254261</v>
      </c>
      <c r="S34" s="106">
        <f>'متطلبات الإيرادات'!$G$60*النفقات!$O$37/النفقات!$O$66*J34/$J$36</f>
        <v>12.985935942700451</v>
      </c>
      <c r="T34" s="106">
        <f t="shared" ref="T34:T35" si="37">Q34+R34+S34</f>
        <v>30.478880116682557</v>
      </c>
      <c r="U34" s="106">
        <f>'إعادة تخصيص الجهد'!$K$29*الأصول!T34/(الأصول!T34+الأصول!T39)</f>
        <v>1681.1033779018173</v>
      </c>
      <c r="V34" s="106"/>
    </row>
    <row r="35" spans="2:22" ht="39" x14ac:dyDescent="0.3">
      <c r="B35" s="13" t="s">
        <v>236</v>
      </c>
      <c r="E35" s="109"/>
      <c r="F35" s="105">
        <v>0.02</v>
      </c>
      <c r="G35" s="106">
        <f t="shared" si="29"/>
        <v>142.51654000000002</v>
      </c>
      <c r="H35" s="107">
        <f t="shared" si="30"/>
        <v>2.0000000000000004E-2</v>
      </c>
      <c r="I35" s="106">
        <f t="shared" si="31"/>
        <v>9.7619200000000017</v>
      </c>
      <c r="J35" s="106">
        <f t="shared" si="32"/>
        <v>152.27846000000002</v>
      </c>
      <c r="K35" s="105">
        <v>0.1</v>
      </c>
      <c r="L35" s="106">
        <f>$E$48*K35</f>
        <v>-111.93572999110421</v>
      </c>
      <c r="M35" s="106">
        <f t="shared" si="33"/>
        <v>40.342730008895813</v>
      </c>
      <c r="O35" s="107">
        <f t="shared" si="34"/>
        <v>6.2117671714897304E-3</v>
      </c>
      <c r="P35" s="106">
        <f t="shared" si="35"/>
        <v>19.869375383388125</v>
      </c>
      <c r="Q35" s="106">
        <f t="shared" si="36"/>
        <v>20.473354625507689</v>
      </c>
      <c r="R35" s="106">
        <f>'متطلبات الإيرادات'!$G$59*الأصول!M35/الأصول!$M$50</f>
        <v>9.2396123262591701</v>
      </c>
      <c r="S35" s="106">
        <f>'متطلبات الإيرادات'!$G$60*النفقات!$O$37/النفقات!$O$66*J35/$J$36</f>
        <v>28.857635428223226</v>
      </c>
      <c r="T35" s="106">
        <f t="shared" si="37"/>
        <v>58.570602379990085</v>
      </c>
      <c r="U35" s="106">
        <f>T35</f>
        <v>58.570602379990085</v>
      </c>
      <c r="V35" s="106"/>
    </row>
    <row r="36" spans="2:22" x14ac:dyDescent="0.3">
      <c r="D36" s="61" t="s">
        <v>243</v>
      </c>
      <c r="G36" s="106">
        <f>SUM(G34:G35)</f>
        <v>206.64898300000002</v>
      </c>
      <c r="H36" s="101"/>
      <c r="I36" s="106">
        <f>SUM(I34:I35)</f>
        <v>14.154784000000001</v>
      </c>
      <c r="J36" s="106">
        <f>SUM(J34:J35)</f>
        <v>220.80376700000002</v>
      </c>
      <c r="L36" s="106">
        <f>SUM(L34:L35)</f>
        <v>-156.7100219875459</v>
      </c>
      <c r="M36" s="106">
        <f>SUM(M34:M35)</f>
        <v>64.093745012454121</v>
      </c>
      <c r="P36" s="106">
        <f t="shared" ref="P36:U36" si="38">SUM(P34:P35)</f>
        <v>31.567092239389758</v>
      </c>
      <c r="Q36" s="106">
        <f t="shared" si="38"/>
        <v>32.52665277306437</v>
      </c>
      <c r="R36" s="106">
        <f t="shared" si="38"/>
        <v>14.679258352684595</v>
      </c>
      <c r="S36" s="106">
        <f t="shared" si="38"/>
        <v>41.843571370923677</v>
      </c>
      <c r="T36" s="106">
        <f t="shared" si="38"/>
        <v>89.049482496672638</v>
      </c>
      <c r="U36" s="106">
        <f t="shared" si="38"/>
        <v>1739.6739802818074</v>
      </c>
      <c r="V36" s="106"/>
    </row>
    <row r="37" spans="2:22" x14ac:dyDescent="0.3">
      <c r="H37" s="101"/>
    </row>
    <row r="38" spans="2:22" ht="91" x14ac:dyDescent="0.3">
      <c r="B38" s="64" t="s">
        <v>239</v>
      </c>
      <c r="H38" s="101"/>
    </row>
    <row r="39" spans="2:22" ht="39" x14ac:dyDescent="0.3">
      <c r="B39" s="13" t="s">
        <v>60</v>
      </c>
      <c r="E39" s="108"/>
      <c r="F39" s="105">
        <v>0.03</v>
      </c>
      <c r="G39" s="106">
        <f t="shared" ref="G39:G40" si="39">F39*$E$44</f>
        <v>213.77481</v>
      </c>
      <c r="H39" s="107">
        <f t="shared" ref="H39:H40" si="40">G39/SUM($G$17,$G$21,$G$26,$G$31,$G$36,$G$41)</f>
        <v>3.0000000000000002E-2</v>
      </c>
      <c r="I39" s="106">
        <f t="shared" ref="I39:I40" si="41">H39*SUM($E$45,$E$46)</f>
        <v>14.642880000000002</v>
      </c>
      <c r="J39" s="106">
        <f t="shared" ref="J39:J40" si="42">G39+I39</f>
        <v>228.41768999999999</v>
      </c>
      <c r="K39" s="105">
        <v>0.2</v>
      </c>
      <c r="L39" s="106">
        <f>$E$48*K39</f>
        <v>-223.87145998220842</v>
      </c>
      <c r="M39" s="106">
        <f t="shared" ref="M39:M40" si="43">E39+G39+I39+L39</f>
        <v>4.5462300177915722</v>
      </c>
      <c r="O39" s="107">
        <f t="shared" ref="O39:O40" si="44">M39/$M$50</f>
        <v>7.000052394156703E-4</v>
      </c>
      <c r="P39" s="106">
        <f t="shared" ref="P39:P40" si="45">O39*$N$50</f>
        <v>2.2390837403123078</v>
      </c>
      <c r="Q39" s="106">
        <f t="shared" ref="Q39:Q40" si="46">M39-P39</f>
        <v>2.3071462774792644</v>
      </c>
      <c r="R39" s="106">
        <f>'متطلبات الإيرادات'!$G$59*الأصول!M39/الأصول!$M$50</f>
        <v>1.0412136933007263</v>
      </c>
      <c r="S39" s="106">
        <f>'متطلبات الإيرادات'!$G$60*النفقات!$O$43/النفقات!$O$66*J39/$J$41</f>
        <v>0.37573415314322128</v>
      </c>
      <c r="T39" s="106">
        <f t="shared" ref="T39:T40" si="47">Q39+R39+S39</f>
        <v>3.7240941239232122</v>
      </c>
      <c r="U39" s="106">
        <f>'إعادة تخصيص الجهد'!$K$29*الأصول!T39/(الأصول!T34+الأصول!T39)</f>
        <v>205.40738988388554</v>
      </c>
      <c r="V39" s="106"/>
    </row>
    <row r="40" spans="2:22" ht="39" x14ac:dyDescent="0.3">
      <c r="B40" s="13" t="s">
        <v>236</v>
      </c>
      <c r="E40" s="109"/>
      <c r="F40" s="105">
        <v>0</v>
      </c>
      <c r="G40" s="106">
        <f t="shared" si="39"/>
        <v>0</v>
      </c>
      <c r="H40" s="107">
        <f t="shared" si="40"/>
        <v>0</v>
      </c>
      <c r="I40" s="106">
        <f t="shared" si="41"/>
        <v>0</v>
      </c>
      <c r="J40" s="106">
        <f t="shared" si="42"/>
        <v>0</v>
      </c>
      <c r="K40" s="105">
        <v>0</v>
      </c>
      <c r="L40" s="106">
        <f>$E$48*K40</f>
        <v>0</v>
      </c>
      <c r="M40" s="106">
        <f t="shared" si="43"/>
        <v>0</v>
      </c>
      <c r="O40" s="107">
        <f t="shared" si="44"/>
        <v>0</v>
      </c>
      <c r="P40" s="106">
        <f t="shared" si="45"/>
        <v>0</v>
      </c>
      <c r="Q40" s="106">
        <f t="shared" si="46"/>
        <v>0</v>
      </c>
      <c r="R40" s="106">
        <f>'متطلبات الإيرادات'!$G$59*الأصول!M40/الأصول!$M$50</f>
        <v>0</v>
      </c>
      <c r="S40" s="106">
        <f>'متطلبات الإيرادات'!$G$60*النفقات!$O$43/النفقات!$O$66*J40/$J$41</f>
        <v>0</v>
      </c>
      <c r="T40" s="106">
        <f t="shared" si="47"/>
        <v>0</v>
      </c>
      <c r="U40" s="106">
        <f>T40</f>
        <v>0</v>
      </c>
      <c r="V40" s="106"/>
    </row>
    <row r="41" spans="2:22" x14ac:dyDescent="0.3">
      <c r="D41" s="61" t="s">
        <v>243</v>
      </c>
      <c r="G41" s="106">
        <f>SUM(G39:G40)</f>
        <v>213.77481</v>
      </c>
      <c r="I41" s="106">
        <f>SUM(I39:I40)</f>
        <v>14.642880000000002</v>
      </c>
      <c r="J41" s="106">
        <f>SUM(J39:J40)</f>
        <v>228.41768999999999</v>
      </c>
      <c r="L41" s="106">
        <f>SUM(L39:L40)</f>
        <v>-223.87145998220842</v>
      </c>
      <c r="M41" s="106">
        <f>SUM(M39:M40)</f>
        <v>4.5462300177915722</v>
      </c>
      <c r="P41" s="106">
        <f t="shared" ref="P41:U41" si="48">SUM(P39:P40)</f>
        <v>2.2390837403123078</v>
      </c>
      <c r="Q41" s="106">
        <f t="shared" si="48"/>
        <v>2.3071462774792644</v>
      </c>
      <c r="R41" s="106">
        <f t="shared" si="48"/>
        <v>1.0412136933007263</v>
      </c>
      <c r="S41" s="106">
        <f t="shared" si="48"/>
        <v>0.37573415314322128</v>
      </c>
      <c r="T41" s="106">
        <f t="shared" si="48"/>
        <v>3.7240941239232122</v>
      </c>
      <c r="U41" s="106">
        <f t="shared" si="48"/>
        <v>205.40738988388554</v>
      </c>
      <c r="V41" s="106"/>
    </row>
    <row r="43" spans="2:22" ht="39" x14ac:dyDescent="0.3">
      <c r="B43" s="64" t="s">
        <v>240</v>
      </c>
    </row>
    <row r="44" spans="2:22" ht="39" x14ac:dyDescent="0.3">
      <c r="B44" s="13" t="s">
        <v>241</v>
      </c>
      <c r="E44" s="106">
        <f>'متطلبات الإيرادات'!G43</f>
        <v>7125.8270000000002</v>
      </c>
      <c r="G44" s="106">
        <f>-E44</f>
        <v>-7125.8270000000002</v>
      </c>
      <c r="I44" s="106"/>
      <c r="J44" s="106"/>
      <c r="L44" s="106"/>
      <c r="M44" s="106">
        <f t="shared" ref="M44:M48" si="49">E44+G44+I44+L44</f>
        <v>0</v>
      </c>
      <c r="N44" s="106">
        <f>'متطلبات الإيرادات'!G50</f>
        <v>3387.739</v>
      </c>
      <c r="P44" s="106">
        <f>-N44</f>
        <v>-3387.739</v>
      </c>
      <c r="Q44" s="106">
        <f>N44+P44</f>
        <v>0</v>
      </c>
      <c r="R44" s="106"/>
      <c r="S44" s="106"/>
      <c r="V44" s="106"/>
    </row>
    <row r="45" spans="2:22" ht="26" x14ac:dyDescent="0.3">
      <c r="B45" s="13" t="s">
        <v>105</v>
      </c>
      <c r="E45" s="106">
        <f>'متطلبات الإيرادات'!G44</f>
        <v>313.48700000000002</v>
      </c>
      <c r="G45" s="106"/>
      <c r="I45" s="106">
        <f>-E45</f>
        <v>-313.48700000000002</v>
      </c>
      <c r="J45" s="106"/>
      <c r="L45" s="106"/>
      <c r="M45" s="106">
        <f t="shared" si="49"/>
        <v>0</v>
      </c>
      <c r="N45" s="106">
        <f>'متطلبات الإيرادات'!G51</f>
        <v>141.66800000000001</v>
      </c>
      <c r="P45" s="106">
        <f t="shared" ref="P45:P46" si="50">-N45</f>
        <v>-141.66800000000001</v>
      </c>
      <c r="Q45" s="106">
        <f t="shared" ref="Q45:Q48" si="51">N45+P45</f>
        <v>0</v>
      </c>
      <c r="R45" s="106"/>
      <c r="S45" s="106"/>
      <c r="V45" s="106"/>
    </row>
    <row r="46" spans="2:22" x14ac:dyDescent="0.3">
      <c r="B46" s="13" t="s">
        <v>117</v>
      </c>
      <c r="E46" s="106">
        <f>'متطلبات الإيرادات'!G45</f>
        <v>174.60900000000001</v>
      </c>
      <c r="G46" s="106"/>
      <c r="I46" s="106">
        <f>-E46</f>
        <v>-174.60900000000001</v>
      </c>
      <c r="J46" s="106"/>
      <c r="L46" s="106"/>
      <c r="M46" s="106">
        <f t="shared" si="49"/>
        <v>0</v>
      </c>
      <c r="N46" s="106">
        <f>'متطلبات الإيرادات'!G52</f>
        <v>117.735</v>
      </c>
      <c r="P46" s="106">
        <f t="shared" si="50"/>
        <v>-117.735</v>
      </c>
      <c r="Q46" s="106">
        <f t="shared" si="51"/>
        <v>0</v>
      </c>
      <c r="R46" s="106"/>
      <c r="S46" s="106"/>
      <c r="V46" s="106"/>
    </row>
    <row r="47" spans="2:22" x14ac:dyDescent="0.3">
      <c r="D47" s="61" t="s">
        <v>243</v>
      </c>
      <c r="E47" s="106">
        <f>SUM(E44:E46)</f>
        <v>7613.9230000000007</v>
      </c>
      <c r="G47" s="106">
        <f>SUM(G44:G46)</f>
        <v>-7125.8270000000002</v>
      </c>
      <c r="I47" s="106">
        <f>SUM(I44:I46)</f>
        <v>-488.096</v>
      </c>
      <c r="J47" s="106">
        <f>SUM(J44:J46)</f>
        <v>0</v>
      </c>
      <c r="L47" s="106">
        <f>SUM(L44:L46)</f>
        <v>0</v>
      </c>
      <c r="M47" s="106">
        <f>SUM(M44:M46)</f>
        <v>0</v>
      </c>
      <c r="N47" s="106">
        <f>SUM(N44:N46)</f>
        <v>3647.1420000000003</v>
      </c>
      <c r="P47" s="106">
        <f>SUM(P44:P46)</f>
        <v>-3647.1420000000003</v>
      </c>
      <c r="Q47" s="106">
        <f>SUM(Q44:Q46)</f>
        <v>0</v>
      </c>
      <c r="R47" s="106"/>
      <c r="S47" s="106"/>
      <c r="V47" s="106"/>
    </row>
    <row r="48" spans="2:22" ht="26" x14ac:dyDescent="0.3">
      <c r="B48" s="13" t="s">
        <v>242</v>
      </c>
      <c r="E48" s="106">
        <f>-'متطلبات الإيرادات'!G46</f>
        <v>-1119.357299911042</v>
      </c>
      <c r="G48" s="106"/>
      <c r="L48" s="106">
        <f>-E48</f>
        <v>1119.357299911042</v>
      </c>
      <c r="M48" s="106">
        <f t="shared" si="49"/>
        <v>0</v>
      </c>
      <c r="N48" s="106">
        <f>-'متطلبات الإيرادات'!G53</f>
        <v>-448.47488404900571</v>
      </c>
      <c r="P48" s="106">
        <f>-N48</f>
        <v>448.47488404900571</v>
      </c>
      <c r="Q48" s="106">
        <f t="shared" si="51"/>
        <v>0</v>
      </c>
      <c r="R48" s="106"/>
      <c r="S48" s="106"/>
      <c r="V48" s="106"/>
    </row>
    <row r="50" spans="2:22" x14ac:dyDescent="0.3">
      <c r="D50" s="65" t="s">
        <v>158</v>
      </c>
      <c r="E50" s="106">
        <f>SUM(E17,E21,E26,E31,E36,E41,E47,E48)</f>
        <v>6494.5657000889587</v>
      </c>
      <c r="F50" s="110">
        <f>SUM(F16,F19:F20,F24:F25,F29:F30,F34:F35,F39:F40)</f>
        <v>1</v>
      </c>
      <c r="G50" s="106">
        <f>SUM(G17,G21,G26,G31,G36,G41,G47,G48)</f>
        <v>0</v>
      </c>
      <c r="H50" s="110">
        <f>SUM(H16,H19:H20,H24:H25,H29:H30,H34:H35,H39:H40)</f>
        <v>1.0000000000000002</v>
      </c>
      <c r="I50" s="106">
        <f>SUM(I17,I21,I26,I31,I36,I41,I47,I48)</f>
        <v>0</v>
      </c>
      <c r="J50" s="106">
        <f>SUM(J17,J21,J26,J31,J36,J41,J47,J48)</f>
        <v>7613.9230000000016</v>
      </c>
      <c r="K50" s="110">
        <f>SUM(K16,K19:K20,K24:K25,K29:K30,K34:K35,K39:K40)</f>
        <v>1</v>
      </c>
      <c r="L50" s="106">
        <f>SUM(L17,L21,L26,L31,L36,L41,L47,L48)</f>
        <v>0</v>
      </c>
      <c r="M50" s="106">
        <f>SUM(M17,M21,M26,M31,M36,M41,M47,M48)</f>
        <v>6494.5657000889587</v>
      </c>
      <c r="N50" s="106">
        <f>SUM(N17,N21,N26,N31,N36,N41,N47,N48)</f>
        <v>3198.6671159509947</v>
      </c>
      <c r="O50" s="110">
        <f>SUM(O16,O19:O20,O24:O25,O29:O30,O34:O35,O39:O40)</f>
        <v>1</v>
      </c>
      <c r="P50" s="106">
        <f t="shared" ref="P50:U50" si="52">SUM(P17,P21,P26,P31,P36,P41,P47,P48)</f>
        <v>0</v>
      </c>
      <c r="Q50" s="106">
        <f t="shared" si="52"/>
        <v>3295.898584137964</v>
      </c>
      <c r="R50" s="106">
        <f t="shared" si="52"/>
        <v>1487.4369999999997</v>
      </c>
      <c r="S50" s="106">
        <f t="shared" si="52"/>
        <v>99.172000000000097</v>
      </c>
      <c r="T50" s="106">
        <f t="shared" si="52"/>
        <v>4882.5075841379639</v>
      </c>
      <c r="U50" s="106">
        <f t="shared" si="52"/>
        <v>4882.5075841379639</v>
      </c>
      <c r="V50" s="106"/>
    </row>
    <row r="51" spans="2:22" x14ac:dyDescent="0.3">
      <c r="O51" s="61"/>
    </row>
    <row r="52" spans="2:22" s="66" customFormat="1" ht="117" x14ac:dyDescent="0.3">
      <c r="B52" s="13"/>
      <c r="F52" s="66" t="str">
        <f>IF(F50&lt;&gt;1,"ERROR !! Sum should be 100%","OK")</f>
        <v>OK</v>
      </c>
      <c r="G52" s="66" t="str">
        <f>IF(G50&lt;&gt;0,"ERROR !! Not fully allocated","OK")</f>
        <v>OK</v>
      </c>
      <c r="H52" s="66" t="str">
        <f>IF(H50&lt;&gt;1,"ERROR !! Sum should be 100%","OK")</f>
        <v>OK</v>
      </c>
      <c r="I52" s="66" t="s">
        <v>244</v>
      </c>
      <c r="K52" s="66" t="s">
        <v>245</v>
      </c>
      <c r="L52" s="66" t="str">
        <f>IF(L50&lt;&gt;0,"ERROR !! Not fully allocated","OK")</f>
        <v>OK</v>
      </c>
      <c r="M52" s="66" t="str">
        <f>IF(M50&lt;&gt;(E47+E48),"ERROR !!","OK")</f>
        <v>OK</v>
      </c>
      <c r="O52" s="66" t="str">
        <f>IF(O50&lt;&gt;1,"ERROR !! Sum should be 100%","OK")</f>
        <v>OK</v>
      </c>
      <c r="P52" s="66" t="str">
        <f>IF(P50&lt;&gt;0,"ERROR !! Not fully allocated","OK")</f>
        <v>OK</v>
      </c>
      <c r="Q52" s="66" t="str">
        <f>IF(Q50&lt;&gt;(M50-N50),"ERROR !!","OK")</f>
        <v>OK</v>
      </c>
    </row>
  </sheetData>
  <mergeCells count="17">
    <mergeCell ref="U12:U14"/>
    <mergeCell ref="T13:T14"/>
    <mergeCell ref="R12:T12"/>
    <mergeCell ref="M13:M14"/>
    <mergeCell ref="E12:M12"/>
    <mergeCell ref="O13:P13"/>
    <mergeCell ref="O14:P14"/>
    <mergeCell ref="F13:G13"/>
    <mergeCell ref="H13:I13"/>
    <mergeCell ref="H14:I14"/>
    <mergeCell ref="K13:L13"/>
    <mergeCell ref="E13:E14"/>
    <mergeCell ref="B12:D14"/>
    <mergeCell ref="J13:J14"/>
    <mergeCell ref="N13:N14"/>
    <mergeCell ref="Q13:Q14"/>
    <mergeCell ref="N12:Q12"/>
  </mergeCells>
  <conditionalFormatting sqref="F52:M52">
    <cfRule type="containsText" dxfId="4" priority="10" operator="containsText" text="error">
      <formula>NOT(ISERROR(SEARCH("error",F52)))</formula>
    </cfRule>
  </conditionalFormatting>
  <conditionalFormatting sqref="O52:S52">
    <cfRule type="containsText" dxfId="3" priority="3" operator="containsText" text="error">
      <formula>NOT(ISERROR(SEARCH("error",O52)))</formula>
    </cfRule>
  </conditionalFormatting>
  <conditionalFormatting sqref="V52">
    <cfRule type="containsText" dxfId="2" priority="1" operator="containsText" text="error">
      <formula>NOT(ISERROR(SEARCH("error",V52)))</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C805-160B-4567-9EB0-A1C93F975E9B}">
  <dimension ref="B2:AB66"/>
  <sheetViews>
    <sheetView showGridLines="0" rightToLeft="1" zoomScale="120" zoomScaleNormal="120" workbookViewId="0">
      <selection sqref="A1:XFD1048576"/>
    </sheetView>
  </sheetViews>
  <sheetFormatPr defaultColWidth="9.1796875" defaultRowHeight="13" x14ac:dyDescent="0.3"/>
  <cols>
    <col min="1" max="6" width="9.1796875" style="61"/>
    <col min="7" max="7" width="9.81640625" style="61" customWidth="1"/>
    <col min="8" max="15" width="9.1796875" style="61"/>
    <col min="16" max="16" width="0" style="61" hidden="1" customWidth="1"/>
    <col min="17" max="16384" width="9.1796875" style="61"/>
  </cols>
  <sheetData>
    <row r="2" spans="2:28" x14ac:dyDescent="0.3">
      <c r="H2" s="65" t="s">
        <v>269</v>
      </c>
      <c r="J2" s="65"/>
      <c r="K2" s="65"/>
    </row>
    <row r="3" spans="2:28" x14ac:dyDescent="0.3">
      <c r="H3" s="61" t="s">
        <v>86</v>
      </c>
    </row>
    <row r="4" spans="2:28" x14ac:dyDescent="0.3">
      <c r="H4" s="61" t="s">
        <v>87</v>
      </c>
    </row>
    <row r="7" spans="2:28" s="12" customFormat="1" x14ac:dyDescent="0.35">
      <c r="B7" s="148" t="s">
        <v>270</v>
      </c>
      <c r="C7" s="148"/>
      <c r="D7" s="148"/>
      <c r="E7" s="148" t="s">
        <v>271</v>
      </c>
      <c r="F7" s="148" t="s">
        <v>282</v>
      </c>
      <c r="G7" s="148"/>
      <c r="H7" s="148"/>
      <c r="I7" s="148"/>
      <c r="J7" s="148"/>
      <c r="K7" s="148"/>
      <c r="L7" s="148"/>
      <c r="M7" s="148"/>
      <c r="N7" s="148"/>
      <c r="O7" s="148" t="s">
        <v>280</v>
      </c>
      <c r="P7" s="148" t="s">
        <v>22</v>
      </c>
    </row>
    <row r="8" spans="2:28" s="12" customFormat="1" ht="65" x14ac:dyDescent="0.35">
      <c r="B8" s="148"/>
      <c r="C8" s="148"/>
      <c r="D8" s="148"/>
      <c r="E8" s="148"/>
      <c r="F8" s="12" t="s">
        <v>272</v>
      </c>
      <c r="G8" s="12" t="s">
        <v>273</v>
      </c>
      <c r="H8" s="12" t="s">
        <v>274</v>
      </c>
      <c r="I8" s="12" t="s">
        <v>275</v>
      </c>
      <c r="J8" s="12" t="s">
        <v>95</v>
      </c>
      <c r="K8" s="12" t="s">
        <v>455</v>
      </c>
      <c r="L8" s="12" t="s">
        <v>277</v>
      </c>
      <c r="M8" s="12" t="s">
        <v>79</v>
      </c>
      <c r="N8" s="12" t="s">
        <v>279</v>
      </c>
      <c r="O8" s="148"/>
      <c r="P8" s="148"/>
    </row>
    <row r="9" spans="2:28" s="103" customFormat="1" ht="32.5" customHeight="1" x14ac:dyDescent="0.35">
      <c r="B9" s="148"/>
      <c r="C9" s="148"/>
      <c r="D9" s="148"/>
      <c r="E9" s="148"/>
      <c r="F9" s="103" t="s">
        <v>65</v>
      </c>
      <c r="G9" s="103" t="s">
        <v>281</v>
      </c>
      <c r="H9" s="103" t="s">
        <v>460</v>
      </c>
      <c r="I9" s="103" t="s">
        <v>145</v>
      </c>
      <c r="J9" s="103" t="s">
        <v>276</v>
      </c>
      <c r="K9" s="103" t="s">
        <v>459</v>
      </c>
      <c r="L9" s="103" t="s">
        <v>278</v>
      </c>
      <c r="M9" s="103" t="s">
        <v>145</v>
      </c>
      <c r="N9" s="103" t="s">
        <v>145</v>
      </c>
      <c r="O9" s="148"/>
      <c r="P9" s="148"/>
    </row>
    <row r="10" spans="2:28" x14ac:dyDescent="0.3">
      <c r="B10" s="103"/>
      <c r="C10" s="103"/>
      <c r="D10" s="103"/>
    </row>
    <row r="11" spans="2:28" x14ac:dyDescent="0.3">
      <c r="B11" s="100" t="s">
        <v>259</v>
      </c>
    </row>
    <row r="12" spans="2:28" x14ac:dyDescent="0.3">
      <c r="B12" s="111" t="s">
        <v>66</v>
      </c>
      <c r="F12" s="106">
        <f>E46</f>
        <v>69.063000000000002</v>
      </c>
      <c r="G12" s="106"/>
      <c r="H12" s="106"/>
      <c r="I12" s="106"/>
      <c r="J12" s="106"/>
      <c r="K12" s="106"/>
      <c r="L12" s="106"/>
      <c r="M12" s="106"/>
      <c r="N12" s="106"/>
      <c r="O12" s="106">
        <f>SUM(F12,G12,H12,J12,K12,L12,M12)-N12</f>
        <v>69.063000000000002</v>
      </c>
      <c r="P12" s="106">
        <f>O12</f>
        <v>69.063000000000002</v>
      </c>
    </row>
    <row r="13" spans="2:28" x14ac:dyDescent="0.3">
      <c r="B13" s="111" t="s">
        <v>61</v>
      </c>
      <c r="F13" s="106"/>
      <c r="G13" s="106"/>
      <c r="H13" s="106">
        <f>SUM($E$51,$E$53)*الأصول!J16/الأصول!$J$50</f>
        <v>68.514810000000011</v>
      </c>
      <c r="I13" s="106"/>
      <c r="J13" s="106">
        <f>I14/$I$66*$E$52</f>
        <v>90.369608643873264</v>
      </c>
      <c r="K13" s="106">
        <f>$E$54*الأصول!M16/الأصول!$M$50</f>
        <v>80.053911393452452</v>
      </c>
      <c r="L13" s="106">
        <f>$E$57*الأصول!M16/الأصول!$M$50</f>
        <v>0</v>
      </c>
      <c r="M13" s="106"/>
      <c r="N13" s="106"/>
      <c r="O13" s="106">
        <f>SUM(F13,G13,H13,J13,K13,L13,M13)-N13</f>
        <v>238.93833003732573</v>
      </c>
      <c r="P13" s="106">
        <f>O13</f>
        <v>238.93833003732573</v>
      </c>
    </row>
    <row r="14" spans="2:28" x14ac:dyDescent="0.3">
      <c r="D14" s="61" t="s">
        <v>243</v>
      </c>
      <c r="E14" s="106"/>
      <c r="F14" s="106">
        <f>SUM(F12:F13)</f>
        <v>69.063000000000002</v>
      </c>
      <c r="G14" s="106">
        <f>SUM(G12:G13)</f>
        <v>0</v>
      </c>
      <c r="H14" s="106">
        <f>SUM(H12:H13)</f>
        <v>68.514810000000011</v>
      </c>
      <c r="I14" s="109">
        <f>'متطلبات الإيرادات'!G72</f>
        <v>500</v>
      </c>
      <c r="J14" s="106">
        <f>SUM(J12:J13)</f>
        <v>90.369608643873264</v>
      </c>
      <c r="K14" s="106">
        <f>SUM(K12:K13)</f>
        <v>80.053911393452452</v>
      </c>
      <c r="L14" s="106">
        <f>SUM(L12:L13)</f>
        <v>0</v>
      </c>
      <c r="M14" s="106">
        <f t="shared" ref="M14:P14" si="0">SUM(M12:M13)</f>
        <v>0</v>
      </c>
      <c r="N14" s="106">
        <f t="shared" si="0"/>
        <v>0</v>
      </c>
      <c r="O14" s="106">
        <f t="shared" si="0"/>
        <v>308.00133003732572</v>
      </c>
      <c r="P14" s="106">
        <f t="shared" si="0"/>
        <v>308.00133003732572</v>
      </c>
      <c r="Q14" s="106"/>
      <c r="R14" s="106"/>
      <c r="S14" s="106"/>
      <c r="T14" s="106"/>
      <c r="U14" s="106"/>
      <c r="V14" s="106"/>
      <c r="W14" s="106"/>
      <c r="X14" s="106"/>
      <c r="Y14" s="106"/>
      <c r="Z14" s="106"/>
      <c r="AA14" s="106"/>
      <c r="AB14" s="106"/>
    </row>
    <row r="15" spans="2:28" x14ac:dyDescent="0.3">
      <c r="B15" s="100" t="s">
        <v>115</v>
      </c>
      <c r="F15" s="106"/>
      <c r="G15" s="106"/>
      <c r="H15" s="106"/>
      <c r="I15" s="109"/>
      <c r="J15" s="106"/>
      <c r="K15" s="106"/>
      <c r="L15" s="106"/>
      <c r="M15" s="106"/>
      <c r="N15" s="106"/>
      <c r="O15" s="106"/>
      <c r="P15" s="106"/>
    </row>
    <row r="16" spans="2:28" x14ac:dyDescent="0.3">
      <c r="B16" s="111" t="s">
        <v>66</v>
      </c>
      <c r="F16" s="106">
        <f>$E$49*SUMIF(العميل!$G$12:$G$42,"HV",العميل!$T$12:$T$42)/العميل!$T$43</f>
        <v>62.16699955585873</v>
      </c>
      <c r="G16" s="106"/>
      <c r="H16" s="106"/>
      <c r="I16" s="109"/>
      <c r="J16" s="106"/>
      <c r="K16" s="106"/>
      <c r="L16" s="106"/>
      <c r="M16" s="106"/>
      <c r="N16" s="106"/>
      <c r="O16" s="106">
        <f t="shared" ref="O16:O18" si="1">SUM(F16,G16,H16,J16,K16,L16,M16)-N16</f>
        <v>62.16699955585873</v>
      </c>
      <c r="P16" s="106">
        <f>O16</f>
        <v>62.16699955585873</v>
      </c>
    </row>
    <row r="17" spans="2:28" x14ac:dyDescent="0.3">
      <c r="B17" s="111" t="s">
        <v>61</v>
      </c>
      <c r="F17" s="106"/>
      <c r="G17" s="106">
        <f>SUM($E$48,$E$50)*SUMIF(العميل!$G$12:$G$42,"HV",العميل!$V$12:$V$42)/العميل!$V$43</f>
        <v>151.51380035938004</v>
      </c>
      <c r="H17" s="106">
        <f>SUM($E$51,$E$53)*الأصول!J19/الأصول!$J$50</f>
        <v>54.46049</v>
      </c>
      <c r="I17" s="109"/>
      <c r="J17" s="106">
        <f>I19/$I$66*$E$52*الأصول!J19/الأصول!J21</f>
        <v>27.02370933723542</v>
      </c>
      <c r="K17" s="106">
        <f>$E$54*الأصول!M19/الأصول!$M$50</f>
        <v>63.632596235821161</v>
      </c>
      <c r="L17" s="106">
        <f>$E$57*الأصول!M19/الأصول!$M$50</f>
        <v>0</v>
      </c>
      <c r="M17" s="106"/>
      <c r="N17" s="106"/>
      <c r="O17" s="106">
        <f t="shared" si="1"/>
        <v>296.63059593243662</v>
      </c>
      <c r="P17" s="112">
        <f>'إعادة تخصيص الجهد'!K75</f>
        <v>87.947574039735883</v>
      </c>
    </row>
    <row r="18" spans="2:28" x14ac:dyDescent="0.3">
      <c r="B18" s="111" t="s">
        <v>260</v>
      </c>
      <c r="F18" s="106"/>
      <c r="G18" s="106"/>
      <c r="H18" s="106">
        <f>SUM($E$51,$E$53)*الأصول!J20/الأصول!$J$50</f>
        <v>0.17567899999999997</v>
      </c>
      <c r="I18" s="109"/>
      <c r="J18" s="106">
        <f>I19/$I$66*$E$52*الأصول!J20/الأصول!J21</f>
        <v>8.7173255926565857E-2</v>
      </c>
      <c r="K18" s="106">
        <f>$E$54*الأصول!M20/الأصول!$M$50</f>
        <v>0.20526643947039083</v>
      </c>
      <c r="L18" s="106">
        <f>$E$57*الأصول!M20/الأصول!$M$50</f>
        <v>0</v>
      </c>
      <c r="M18" s="106">
        <f>$E$58*SUMIF(العميل!$G$12:$G$42,"HV",العميل!$J$12:$J$42)/العميل!$J$43</f>
        <v>3.3511053978843428E-4</v>
      </c>
      <c r="N18" s="106">
        <f>SUM($E$60:$E$63)*SUMIF(العميل!$G$12:$G$42,"HV",العميل!$J$12:$J$42)/العميل!$J$43</f>
        <v>7.0188031023568761E-4</v>
      </c>
      <c r="O18" s="106">
        <f t="shared" si="1"/>
        <v>0.4677519256265093</v>
      </c>
      <c r="P18" s="106">
        <f>O18</f>
        <v>0.4677519256265093</v>
      </c>
    </row>
    <row r="19" spans="2:28" x14ac:dyDescent="0.3">
      <c r="D19" s="61" t="s">
        <v>243</v>
      </c>
      <c r="E19" s="106"/>
      <c r="F19" s="106">
        <f>SUM(F16:F18)</f>
        <v>62.16699955585873</v>
      </c>
      <c r="G19" s="106">
        <f>SUM(G16:G18)</f>
        <v>151.51380035938004</v>
      </c>
      <c r="H19" s="106">
        <f>SUM(H16:H18)</f>
        <v>54.636169000000002</v>
      </c>
      <c r="I19" s="109">
        <f>'متطلبات الإيرادات'!G73</f>
        <v>150</v>
      </c>
      <c r="J19" s="106">
        <f>SUM(J16:J18)</f>
        <v>27.110882593161985</v>
      </c>
      <c r="K19" s="106">
        <f>SUM(K16:K18)</f>
        <v>63.837862675291554</v>
      </c>
      <c r="L19" s="106">
        <f>SUM(L16:L18)</f>
        <v>0</v>
      </c>
      <c r="M19" s="106">
        <f t="shared" ref="M19:P19" si="2">SUM(M16:M18)</f>
        <v>3.3511053978843428E-4</v>
      </c>
      <c r="N19" s="106">
        <f t="shared" si="2"/>
        <v>7.0188031023568761E-4</v>
      </c>
      <c r="O19" s="106">
        <f t="shared" si="2"/>
        <v>359.26534741392186</v>
      </c>
      <c r="P19" s="106">
        <f t="shared" si="2"/>
        <v>150.58232552122112</v>
      </c>
      <c r="Q19" s="106"/>
      <c r="R19" s="106"/>
      <c r="S19" s="106"/>
      <c r="T19" s="106"/>
      <c r="U19" s="106"/>
      <c r="V19" s="106"/>
      <c r="W19" s="106"/>
      <c r="X19" s="106"/>
      <c r="Y19" s="106"/>
      <c r="Z19" s="106"/>
      <c r="AA19" s="106"/>
      <c r="AB19" s="106"/>
    </row>
    <row r="20" spans="2:28" x14ac:dyDescent="0.3">
      <c r="F20" s="106"/>
      <c r="G20" s="106"/>
      <c r="H20" s="106"/>
      <c r="I20" s="109"/>
      <c r="J20" s="106"/>
      <c r="K20" s="106"/>
      <c r="L20" s="106"/>
      <c r="M20" s="106"/>
      <c r="N20" s="106"/>
      <c r="O20" s="106"/>
      <c r="P20" s="106"/>
    </row>
    <row r="21" spans="2:28" x14ac:dyDescent="0.3">
      <c r="B21" s="100" t="s">
        <v>261</v>
      </c>
      <c r="F21" s="106"/>
      <c r="G21" s="106"/>
      <c r="H21" s="106"/>
      <c r="I21" s="109"/>
      <c r="J21" s="106"/>
      <c r="K21" s="106"/>
      <c r="L21" s="106"/>
      <c r="M21" s="106"/>
      <c r="N21" s="106"/>
      <c r="O21" s="106"/>
      <c r="P21" s="106"/>
    </row>
    <row r="22" spans="2:28" x14ac:dyDescent="0.3">
      <c r="B22" s="111" t="s">
        <v>66</v>
      </c>
      <c r="F22" s="106">
        <f>$E$49*SUMIFS(العميل!$T$12:$T$42,العميل!$G$12:$G$42,"MV",العميل!$F$12:$F$42,"Urban")/العميل!$T$43</f>
        <v>31.475331838422697</v>
      </c>
      <c r="G22" s="106"/>
      <c r="H22" s="106"/>
      <c r="I22" s="109"/>
      <c r="J22" s="106"/>
      <c r="K22" s="106"/>
      <c r="L22" s="106"/>
      <c r="M22" s="106"/>
      <c r="N22" s="106"/>
      <c r="O22" s="106">
        <f t="shared" ref="O22:O24" si="3">SUM(F22,G22,H22,J22,K22,L22,M22)-N22</f>
        <v>31.475331838422697</v>
      </c>
      <c r="P22" s="106">
        <f>O22</f>
        <v>31.475331838422697</v>
      </c>
    </row>
    <row r="23" spans="2:28" x14ac:dyDescent="0.3">
      <c r="B23" s="111" t="s">
        <v>61</v>
      </c>
      <c r="F23" s="106"/>
      <c r="G23" s="106">
        <f>SUM($E$48,$E$50)*SUMIFS(العميل!$V$12:$V$42,العميل!$G$12:$G$42,"MV",العميل!$F$12:$F$42,"Urban")/العميل!$V$43</f>
        <v>42.834108183942512</v>
      </c>
      <c r="H23" s="106">
        <f>SUM($E$51,$E$53)*الأصول!J24/الأصول!$J$50</f>
        <v>17.567900000000002</v>
      </c>
      <c r="I23" s="109"/>
      <c r="J23" s="106">
        <f>I25/$I$66*$E$52*الأصول!J24/الأصول!J26</f>
        <v>3.8480057978218398</v>
      </c>
      <c r="K23" s="106">
        <f>$E$54*الأصول!M24/الأصول!$M$50</f>
        <v>7.8522414441334742</v>
      </c>
      <c r="L23" s="106">
        <f>$E$57*الأصول!M24/الأصول!$M$50</f>
        <v>0</v>
      </c>
      <c r="M23" s="106"/>
      <c r="N23" s="106"/>
      <c r="O23" s="106">
        <f t="shared" si="3"/>
        <v>72.102255425897823</v>
      </c>
      <c r="P23" s="112">
        <f>'إعادة تخصيص الجهد'!$K$76*النفقات!O23/(النفقات!O23+النفقات!O29)</f>
        <v>17.146516957269913</v>
      </c>
    </row>
    <row r="24" spans="2:28" x14ac:dyDescent="0.3">
      <c r="B24" s="111" t="s">
        <v>260</v>
      </c>
      <c r="F24" s="106"/>
      <c r="G24" s="106"/>
      <c r="H24" s="106">
        <f>SUM($E$51,$E$53)*الأصول!J25/الأصول!$J$50</f>
        <v>3.5135800000000001</v>
      </c>
      <c r="I24" s="109"/>
      <c r="J24" s="106">
        <f>I25/$I$66*$E$52*الأصول!J25/الأصول!J26</f>
        <v>0.76960115956436803</v>
      </c>
      <c r="K24" s="106">
        <f>$E$54*الأصول!M25/الأصول!$M$50</f>
        <v>1.0876139077636235</v>
      </c>
      <c r="L24" s="106">
        <f>$E$57*الأصول!M25/الأصول!$M$50</f>
        <v>0</v>
      </c>
      <c r="M24" s="106">
        <f>$E$58*SUMIFS(العميل!$J$12:$J$42,العميل!$G$12:$G$42,"MV",العميل!$F$12:$F$42,"Urban")/العميل!$J$43</f>
        <v>0.23617413506488399</v>
      </c>
      <c r="N24" s="106">
        <f>SUM($E$60:$E$63)*SUMIFS(العميل!$J$12:$J$42,العميل!$G$12:$G$42,"MV",العميل!$F$12:$F$42,"Urban")/العميل!$J$43</f>
        <v>0.49466058362007698</v>
      </c>
      <c r="O24" s="106">
        <f t="shared" si="3"/>
        <v>5.112308618772798</v>
      </c>
      <c r="P24" s="106">
        <f>O24</f>
        <v>5.112308618772798</v>
      </c>
    </row>
    <row r="25" spans="2:28" x14ac:dyDescent="0.3">
      <c r="D25" s="61" t="s">
        <v>243</v>
      </c>
      <c r="E25" s="106"/>
      <c r="F25" s="106">
        <f>SUM(F22:F24)</f>
        <v>31.475331838422697</v>
      </c>
      <c r="G25" s="106">
        <f>SUM(G22:G24)</f>
        <v>42.834108183942512</v>
      </c>
      <c r="H25" s="106">
        <f>SUM(H22:H24)</f>
        <v>21.081480000000003</v>
      </c>
      <c r="I25" s="109">
        <f>'متطلبات الإيرادات'!$G$74*SUMIFS(العميل!$J$12:$J$42,العميل!$G$12:$G$42,"MV",العميل!$F$12:$F$42,"Urban")/العميل!$J$43</f>
        <v>25.548450561422591</v>
      </c>
      <c r="J25" s="106">
        <f>SUM(J22:J24)</f>
        <v>4.617606957386208</v>
      </c>
      <c r="K25" s="106">
        <f>SUM(K22:K24)</f>
        <v>8.9398553518970978</v>
      </c>
      <c r="L25" s="106">
        <f>SUM(L22:L24)</f>
        <v>0</v>
      </c>
      <c r="M25" s="106">
        <f t="shared" ref="M25:O25" si="4">SUM(M22:M24)</f>
        <v>0.23617413506488399</v>
      </c>
      <c r="N25" s="106">
        <f t="shared" si="4"/>
        <v>0.49466058362007698</v>
      </c>
      <c r="O25" s="106">
        <f t="shared" si="4"/>
        <v>108.68989588309333</v>
      </c>
      <c r="P25" s="106">
        <f t="shared" ref="P25" si="5">SUM(P22:P24)</f>
        <v>53.734157414465415</v>
      </c>
      <c r="Q25" s="106"/>
      <c r="R25" s="106"/>
      <c r="S25" s="106"/>
      <c r="T25" s="106"/>
      <c r="U25" s="106"/>
      <c r="V25" s="106"/>
      <c r="W25" s="106"/>
      <c r="X25" s="106"/>
      <c r="Y25" s="106"/>
      <c r="Z25" s="106"/>
      <c r="AA25" s="106"/>
      <c r="AB25" s="106"/>
    </row>
    <row r="26" spans="2:28" x14ac:dyDescent="0.3">
      <c r="F26" s="106"/>
      <c r="G26" s="106"/>
      <c r="H26" s="106"/>
      <c r="I26" s="109"/>
      <c r="J26" s="106"/>
      <c r="K26" s="106"/>
      <c r="L26" s="106"/>
      <c r="M26" s="106"/>
      <c r="N26" s="106"/>
      <c r="O26" s="106"/>
      <c r="P26" s="106"/>
    </row>
    <row r="27" spans="2:28" x14ac:dyDescent="0.3">
      <c r="B27" s="100" t="s">
        <v>262</v>
      </c>
      <c r="F27" s="106"/>
      <c r="G27" s="106"/>
      <c r="H27" s="106"/>
      <c r="I27" s="109"/>
      <c r="J27" s="106"/>
      <c r="K27" s="106"/>
      <c r="L27" s="106"/>
      <c r="M27" s="106"/>
      <c r="N27" s="106"/>
      <c r="O27" s="106"/>
      <c r="P27" s="106"/>
    </row>
    <row r="28" spans="2:28" x14ac:dyDescent="0.3">
      <c r="B28" s="111" t="s">
        <v>66</v>
      </c>
      <c r="F28" s="106">
        <f>$E$49*SUMIFS(العميل!$T$12:$T$42,العميل!$G$12:$G$42,"MV",العميل!$F$12:$F$42,"Rural")/العميل!$T$43</f>
        <v>0</v>
      </c>
      <c r="G28" s="106"/>
      <c r="H28" s="106"/>
      <c r="I28" s="109"/>
      <c r="J28" s="106"/>
      <c r="K28" s="106"/>
      <c r="L28" s="106"/>
      <c r="M28" s="106"/>
      <c r="N28" s="106"/>
      <c r="O28" s="106">
        <f t="shared" ref="O28:O30" si="6">SUM(F28,G28,H28,J28,K28,L28,M28)-N28</f>
        <v>0</v>
      </c>
      <c r="P28" s="106">
        <f>O28</f>
        <v>0</v>
      </c>
    </row>
    <row r="29" spans="2:28" x14ac:dyDescent="0.3">
      <c r="B29" s="111" t="s">
        <v>61</v>
      </c>
      <c r="F29" s="106"/>
      <c r="G29" s="106">
        <f>SUM($E$48,$E$50)*SUMIFS(العميل!$V$12:$V$42,العميل!$G$12:$G$42,"MV",العميل!$F$12:$F$42,"Rural")/العميل!$V$43</f>
        <v>0</v>
      </c>
      <c r="H29" s="106">
        <f>SUM($E$51,$E$53)*الأصول!J29/الأصول!$J$50</f>
        <v>21.081479999999999</v>
      </c>
      <c r="I29" s="109"/>
      <c r="J29" s="106">
        <f>I31/$I$66*$E$52*الأصول!J29/الأصول!J31</f>
        <v>0</v>
      </c>
      <c r="K29" s="106">
        <f>$E$54*الأصول!M29/الأصول!$M$50</f>
        <v>20.407171902145027</v>
      </c>
      <c r="L29" s="106">
        <f>$E$57*الأصول!M29/الأصول!$M$50</f>
        <v>0</v>
      </c>
      <c r="M29" s="106"/>
      <c r="N29" s="106"/>
      <c r="O29" s="106">
        <f t="shared" si="6"/>
        <v>41.488651902145023</v>
      </c>
      <c r="P29" s="112">
        <f>'إعادة تخصيص الجهد'!$K$76*النفقات!O29/(النفقات!O23+النفقات!O29)</f>
        <v>9.8663470257947203</v>
      </c>
    </row>
    <row r="30" spans="2:28" x14ac:dyDescent="0.3">
      <c r="B30" s="111" t="s">
        <v>260</v>
      </c>
      <c r="F30" s="106"/>
      <c r="G30" s="106"/>
      <c r="H30" s="106">
        <f>SUM($E$51,$E$53)*الأصول!J30/الأصول!$J$50</f>
        <v>0</v>
      </c>
      <c r="I30" s="109"/>
      <c r="J30" s="106">
        <f>I31/$I$66*$E$52*الأصول!J30/الأصول!J31</f>
        <v>0</v>
      </c>
      <c r="K30" s="106">
        <f>$E$54*الأصول!M30/الأصول!$M$50</f>
        <v>0</v>
      </c>
      <c r="L30" s="106">
        <f>$E$57*الأصول!M30/الأصول!$M$50</f>
        <v>0</v>
      </c>
      <c r="M30" s="106">
        <f>$E$58*SUMIFS(العميل!$J$12:$J$42,العميل!$G$12:$G$42,"MV",العميل!$F$12:$F$42,"Rural")/العميل!$J$43</f>
        <v>0</v>
      </c>
      <c r="N30" s="106">
        <f>SUM($E$60:$E$63)*SUMIFS(العميل!$J$12:$J$42,العميل!$G$12:$G$42,"MV",العميل!$F$12:$F$42,"Rural")/العميل!$J$43</f>
        <v>0</v>
      </c>
      <c r="O30" s="106">
        <f t="shared" si="6"/>
        <v>0</v>
      </c>
      <c r="P30" s="106">
        <f>O30</f>
        <v>0</v>
      </c>
    </row>
    <row r="31" spans="2:28" x14ac:dyDescent="0.3">
      <c r="D31" s="61" t="s">
        <v>243</v>
      </c>
      <c r="E31" s="106"/>
      <c r="F31" s="106">
        <f>SUM(F28:F30)</f>
        <v>0</v>
      </c>
      <c r="G31" s="106">
        <f>SUM(G28:G30)</f>
        <v>0</v>
      </c>
      <c r="H31" s="106">
        <f>SUM(H28:H30)</f>
        <v>21.081479999999999</v>
      </c>
      <c r="I31" s="109">
        <f>'متطلبات الإيرادات'!$G$74*SUMIFS(العميل!$J$12:$J$42,العميل!$G$12:$G$42,"MV",العميل!$F$12:$F$42,"Rural")/العميل!$J$43</f>
        <v>0</v>
      </c>
      <c r="J31" s="106">
        <f>SUM(J28:J30)</f>
        <v>0</v>
      </c>
      <c r="K31" s="106">
        <f>SUM(K28:K30)</f>
        <v>20.407171902145027</v>
      </c>
      <c r="L31" s="106">
        <f>SUM(L28:L30)</f>
        <v>0</v>
      </c>
      <c r="M31" s="106">
        <f t="shared" ref="M31:O31" si="7">SUM(M28:M30)</f>
        <v>0</v>
      </c>
      <c r="N31" s="106">
        <f t="shared" si="7"/>
        <v>0</v>
      </c>
      <c r="O31" s="106">
        <f t="shared" si="7"/>
        <v>41.488651902145023</v>
      </c>
      <c r="P31" s="106">
        <f t="shared" ref="P31" si="8">SUM(P28:P30)</f>
        <v>9.8663470257947203</v>
      </c>
      <c r="Q31" s="106"/>
      <c r="R31" s="106"/>
      <c r="S31" s="106"/>
      <c r="T31" s="106"/>
      <c r="U31" s="106"/>
      <c r="V31" s="106"/>
      <c r="W31" s="106"/>
      <c r="X31" s="106"/>
      <c r="Y31" s="106"/>
      <c r="Z31" s="106"/>
      <c r="AA31" s="106"/>
      <c r="AB31" s="106"/>
    </row>
    <row r="32" spans="2:28" x14ac:dyDescent="0.3">
      <c r="F32" s="106"/>
      <c r="G32" s="106"/>
      <c r="H32" s="106"/>
      <c r="I32" s="109"/>
      <c r="J32" s="106"/>
      <c r="K32" s="106"/>
      <c r="L32" s="106"/>
      <c r="M32" s="106"/>
      <c r="N32" s="106"/>
      <c r="O32" s="106"/>
      <c r="P32" s="106"/>
    </row>
    <row r="33" spans="2:28" x14ac:dyDescent="0.3">
      <c r="B33" s="100" t="s">
        <v>263</v>
      </c>
      <c r="F33" s="106"/>
      <c r="G33" s="106"/>
      <c r="H33" s="106"/>
      <c r="I33" s="109"/>
      <c r="J33" s="106"/>
      <c r="K33" s="106"/>
      <c r="L33" s="106"/>
      <c r="M33" s="106"/>
      <c r="N33" s="106"/>
      <c r="O33" s="106"/>
      <c r="P33" s="106"/>
    </row>
    <row r="34" spans="2:28" x14ac:dyDescent="0.3">
      <c r="B34" s="111" t="s">
        <v>66</v>
      </c>
      <c r="F34" s="106">
        <f>$E$49*SUMIFS(العميل!$T$12:$T$42,العميل!$G$12:$G$42,"LV",العميل!$F$12:$F$42,"Urban")/العميل!$T$43</f>
        <v>76.700168605718574</v>
      </c>
      <c r="G34" s="106"/>
      <c r="H34" s="106"/>
      <c r="I34" s="109"/>
      <c r="J34" s="106"/>
      <c r="K34" s="106"/>
      <c r="L34" s="106"/>
      <c r="M34" s="106"/>
      <c r="N34" s="106"/>
      <c r="O34" s="106">
        <f t="shared" ref="O34:O36" si="9">SUM(F34,G34,H34,J34,K34,L34,M34)-N34</f>
        <v>76.700168605718574</v>
      </c>
      <c r="P34" s="106">
        <f>O34</f>
        <v>76.700168605718574</v>
      </c>
    </row>
    <row r="35" spans="2:28" x14ac:dyDescent="0.3">
      <c r="B35" s="111" t="s">
        <v>61</v>
      </c>
      <c r="F35" s="106"/>
      <c r="G35" s="106">
        <f>SUM($E$48,$E$50)*SUMIFS(العميل!$V$12:$V$42,العميل!$G$12:$G$42,"LV",العميل!$F$12:$F$42,"Urban")/العميل!$V$43</f>
        <v>316.67959145667749</v>
      </c>
      <c r="H35" s="106">
        <f>SUM($E$51,$E$53)*الأصول!J34/الأصول!$J$50</f>
        <v>1.5811109999999999</v>
      </c>
      <c r="I35" s="109"/>
      <c r="J35" s="106">
        <f>I37/$I$66*$E$52*الأصول!J34/الأصول!J36</f>
        <v>65.874693663800215</v>
      </c>
      <c r="K35" s="106">
        <f>$E$54*الأصول!M34/الأصول!$M$50</f>
        <v>0.64031200257583998</v>
      </c>
      <c r="L35" s="106">
        <f>$E$57*الأصول!M34/الأصول!$M$50</f>
        <v>0</v>
      </c>
      <c r="M35" s="106"/>
      <c r="N35" s="106"/>
      <c r="O35" s="106">
        <f t="shared" si="9"/>
        <v>384.77570812305356</v>
      </c>
      <c r="P35" s="112">
        <f>'إعادة تخصيص الجهد'!$K$77*النفقات!O35/(النفقات!O35+النفقات!O41)</f>
        <v>675.95565792232253</v>
      </c>
    </row>
    <row r="36" spans="2:28" x14ac:dyDescent="0.3">
      <c r="B36" s="111" t="s">
        <v>260</v>
      </c>
      <c r="F36" s="106"/>
      <c r="G36" s="106"/>
      <c r="H36" s="106">
        <f>SUM($E$51,$E$53)*الأصول!J35/الأصول!$J$50</f>
        <v>3.5135800000000001</v>
      </c>
      <c r="I36" s="109"/>
      <c r="J36" s="106">
        <f>I37/$I$66*$E$52*الأصول!J35/الأصول!J36</f>
        <v>146.38820814177828</v>
      </c>
      <c r="K36" s="106">
        <f>$E$54*الأصول!M35/الأصول!$M$50</f>
        <v>1.0876139077636235</v>
      </c>
      <c r="L36" s="106">
        <f>$E$57*الأصول!M35/الأصول!$M$50</f>
        <v>0</v>
      </c>
      <c r="M36" s="106">
        <f>$E$58*SUMIFS(العميل!$J$12:$J$42,العميل!$G$12:$G$42,"LV",العميل!$F$12:$F$42,"Urban")/العميل!$J$43</f>
        <v>10.856490754395328</v>
      </c>
      <c r="N36" s="106">
        <f>SUM($E$60:$E$63)*SUMIFS(العميل!$J$12:$J$42,العميل!$G$12:$G$42,"LV",العميل!$F$12:$F$42,"Urban")/العميل!$J$43</f>
        <v>22.738637536069685</v>
      </c>
      <c r="O36" s="106">
        <f t="shared" si="9"/>
        <v>139.10725526786754</v>
      </c>
      <c r="P36" s="106">
        <f>O36</f>
        <v>139.10725526786754</v>
      </c>
    </row>
    <row r="37" spans="2:28" x14ac:dyDescent="0.3">
      <c r="D37" s="61" t="s">
        <v>243</v>
      </c>
      <c r="E37" s="106"/>
      <c r="F37" s="106">
        <f>SUM(F34:F36)</f>
        <v>76.700168605718574</v>
      </c>
      <c r="G37" s="106">
        <f>SUM(G34:G36)</f>
        <v>316.67959145667749</v>
      </c>
      <c r="H37" s="106">
        <f>SUM(H34:H36)</f>
        <v>5.0946910000000001</v>
      </c>
      <c r="I37" s="109">
        <f>'متطلبات الإيرادات'!$G$74*SUMIFS(العميل!$J$12:$J$42,العميل!$G$12:$G$42,"LV",العميل!$F$12:$F$42,"Urban")/العميل!$J$43</f>
        <v>1174.4152984111056</v>
      </c>
      <c r="J37" s="106">
        <f>SUM(J34:J36)</f>
        <v>212.26290180557851</v>
      </c>
      <c r="K37" s="106">
        <f>SUM(K34:K36)</f>
        <v>1.7279259103394635</v>
      </c>
      <c r="L37" s="106">
        <f>SUM(L34:L36)</f>
        <v>0</v>
      </c>
      <c r="M37" s="106">
        <f t="shared" ref="M37:O37" si="10">SUM(M34:M36)</f>
        <v>10.856490754395328</v>
      </c>
      <c r="N37" s="106">
        <f t="shared" si="10"/>
        <v>22.738637536069685</v>
      </c>
      <c r="O37" s="106">
        <f t="shared" si="10"/>
        <v>600.58313199663974</v>
      </c>
      <c r="P37" s="106">
        <f t="shared" ref="P37" si="11">SUM(P34:P36)</f>
        <v>891.76308179590865</v>
      </c>
      <c r="Q37" s="106"/>
      <c r="R37" s="106"/>
      <c r="S37" s="106"/>
      <c r="T37" s="106"/>
      <c r="U37" s="106"/>
      <c r="V37" s="106"/>
      <c r="W37" s="106"/>
      <c r="X37" s="106"/>
      <c r="Y37" s="106"/>
      <c r="Z37" s="106"/>
      <c r="AA37" s="106"/>
      <c r="AB37" s="106"/>
    </row>
    <row r="38" spans="2:28" x14ac:dyDescent="0.3">
      <c r="F38" s="106"/>
      <c r="G38" s="106"/>
      <c r="H38" s="106"/>
      <c r="I38" s="106"/>
      <c r="J38" s="106"/>
      <c r="K38" s="106"/>
      <c r="L38" s="106"/>
      <c r="M38" s="106"/>
      <c r="N38" s="106"/>
      <c r="O38" s="106"/>
      <c r="P38" s="106"/>
    </row>
    <row r="39" spans="2:28" x14ac:dyDescent="0.3">
      <c r="B39" s="100" t="s">
        <v>264</v>
      </c>
      <c r="F39" s="106"/>
      <c r="G39" s="106"/>
      <c r="H39" s="106"/>
      <c r="I39" s="106"/>
      <c r="J39" s="106"/>
      <c r="K39" s="106"/>
      <c r="L39" s="106"/>
      <c r="M39" s="106"/>
      <c r="N39" s="106"/>
      <c r="O39" s="106"/>
      <c r="P39" s="106"/>
    </row>
    <row r="40" spans="2:28" x14ac:dyDescent="0.3">
      <c r="B40" s="111" t="s">
        <v>66</v>
      </c>
      <c r="F40" s="106">
        <f>$E$49*SUMIFS(العميل!$T$12:$T$42,العميل!$G$12:$G$42,"LV",العميل!$F$12:$F$42,"Rural")/العميل!$T$43</f>
        <v>0</v>
      </c>
      <c r="G40" s="106"/>
      <c r="H40" s="106"/>
      <c r="I40" s="106"/>
      <c r="J40" s="106"/>
      <c r="K40" s="106"/>
      <c r="L40" s="106"/>
      <c r="M40" s="106"/>
      <c r="N40" s="106"/>
      <c r="O40" s="106">
        <f t="shared" ref="O40:O42" si="12">SUM(F40,G40,H40,J40,K40,L40,M40)-N40</f>
        <v>0</v>
      </c>
      <c r="P40" s="106">
        <f>O40</f>
        <v>0</v>
      </c>
    </row>
    <row r="41" spans="2:28" x14ac:dyDescent="0.3">
      <c r="B41" s="111" t="s">
        <v>61</v>
      </c>
      <c r="F41" s="106"/>
      <c r="G41" s="106">
        <f>SUM($E$48,$E$50)*SUMIFS(العميل!$V$12:$V$42,العميل!$G$12:$G$42,"LV",العميل!$F$12:$F$42,"Rural")/العميل!$V$43</f>
        <v>0</v>
      </c>
      <c r="H41" s="106">
        <f>SUM($E$51,$E$53)*الأصول!J39/الأصول!$J$50</f>
        <v>5.2703699999999998</v>
      </c>
      <c r="I41" s="106"/>
      <c r="J41" s="106">
        <f>I43/$I$66*$E$52*الأصول!J39/الأصول!J41</f>
        <v>0</v>
      </c>
      <c r="K41" s="106">
        <f>$E$54*الأصول!M39/الأصول!$M$50</f>
        <v>0.1225634208233374</v>
      </c>
      <c r="L41" s="106">
        <f>$E$57*الأصول!M39/الأصول!$M$50</f>
        <v>0</v>
      </c>
      <c r="M41" s="106"/>
      <c r="N41" s="106"/>
      <c r="O41" s="106">
        <f t="shared" si="12"/>
        <v>5.3929334208233373</v>
      </c>
      <c r="P41" s="112">
        <f>'إعادة تخصيص الجهد'!$K$77*النفقات!O41/(النفقات!O35+النفقات!O41)</f>
        <v>9.4740488592333509</v>
      </c>
    </row>
    <row r="42" spans="2:28" x14ac:dyDescent="0.3">
      <c r="B42" s="111" t="s">
        <v>260</v>
      </c>
      <c r="F42" s="106"/>
      <c r="G42" s="106"/>
      <c r="H42" s="106">
        <f>SUM($E$51,$E$53)*الأصول!J40/الأصول!$J$50</f>
        <v>0</v>
      </c>
      <c r="I42" s="106"/>
      <c r="J42" s="106">
        <f>I43/$I$66*$E$52*الأصول!J40/الأصول!J41</f>
        <v>0</v>
      </c>
      <c r="K42" s="106">
        <f>$E$54*الأصول!M40/الأصول!$M$50</f>
        <v>0</v>
      </c>
      <c r="L42" s="106">
        <f>$E$57*الأصول!M40/الأصول!$M$50</f>
        <v>0</v>
      </c>
      <c r="M42" s="106">
        <f>$E$58*SUMIFS(العميل!$J$12:$J$42,العميل!$G$12:$G$42,"LV",العميل!$F$12:$F$42,"Rural")/العميل!$J$43</f>
        <v>0</v>
      </c>
      <c r="N42" s="106">
        <f>SUM($E$60:$E$63)*SUMIFS(العميل!$J$12:$J$42,العميل!$G$12:$G$42,"LV",العميل!$F$12:$F$42,"Rural")/العميل!$J$43</f>
        <v>0</v>
      </c>
      <c r="O42" s="106">
        <f t="shared" si="12"/>
        <v>0</v>
      </c>
      <c r="P42" s="106">
        <f>O42</f>
        <v>0</v>
      </c>
    </row>
    <row r="43" spans="2:28" x14ac:dyDescent="0.3">
      <c r="D43" s="61" t="s">
        <v>243</v>
      </c>
      <c r="E43" s="106"/>
      <c r="F43" s="106">
        <f>SUM(F40:F42)</f>
        <v>0</v>
      </c>
      <c r="G43" s="106">
        <f>SUM(G40:G42)</f>
        <v>0</v>
      </c>
      <c r="H43" s="106">
        <f>SUM(H40:H42)</f>
        <v>5.2703699999999998</v>
      </c>
      <c r="I43" s="109">
        <f>'متطلبات الإيرادات'!$G$74*SUMIFS(العميل!$J$12:$J$42,العميل!$G$12:$G$42,"LV",العميل!$F$12:$F$42,"Rural")/العميل!$J$43</f>
        <v>0</v>
      </c>
      <c r="J43" s="106">
        <f>SUM(J40:J42)</f>
        <v>0</v>
      </c>
      <c r="K43" s="106">
        <f>SUM(K40:K42)</f>
        <v>0.1225634208233374</v>
      </c>
      <c r="L43" s="106">
        <f>SUM(L40:L42)</f>
        <v>0</v>
      </c>
      <c r="M43" s="106">
        <f t="shared" ref="M43:O43" si="13">SUM(M40:M42)</f>
        <v>0</v>
      </c>
      <c r="N43" s="106">
        <f t="shared" si="13"/>
        <v>0</v>
      </c>
      <c r="O43" s="106">
        <f t="shared" si="13"/>
        <v>5.3929334208233373</v>
      </c>
      <c r="P43" s="106">
        <f t="shared" ref="P43" si="14">SUM(P40:P42)</f>
        <v>9.4740488592333509</v>
      </c>
      <c r="Q43" s="106"/>
      <c r="R43" s="106"/>
      <c r="S43" s="106"/>
      <c r="T43" s="106"/>
      <c r="U43" s="106"/>
      <c r="V43" s="106"/>
      <c r="W43" s="106"/>
      <c r="X43" s="106"/>
      <c r="Y43" s="106"/>
      <c r="Z43" s="106"/>
      <c r="AA43" s="106"/>
      <c r="AB43" s="106"/>
    </row>
    <row r="44" spans="2:28" x14ac:dyDescent="0.3">
      <c r="F44" s="106"/>
      <c r="G44" s="106"/>
      <c r="H44" s="106"/>
      <c r="I44" s="106"/>
      <c r="J44" s="106"/>
      <c r="K44" s="106"/>
      <c r="L44" s="106"/>
      <c r="M44" s="106"/>
      <c r="N44" s="106"/>
      <c r="O44" s="106"/>
      <c r="P44" s="106"/>
    </row>
    <row r="45" spans="2:28" x14ac:dyDescent="0.3">
      <c r="B45" s="100" t="s">
        <v>265</v>
      </c>
      <c r="F45" s="106"/>
      <c r="G45" s="106"/>
      <c r="H45" s="106"/>
      <c r="I45" s="106"/>
      <c r="J45" s="106"/>
      <c r="K45" s="106"/>
      <c r="L45" s="106"/>
      <c r="M45" s="106"/>
      <c r="N45" s="106"/>
      <c r="O45" s="106"/>
      <c r="P45" s="106"/>
    </row>
    <row r="46" spans="2:28" x14ac:dyDescent="0.3">
      <c r="B46" s="61" t="s">
        <v>89</v>
      </c>
      <c r="E46" s="106">
        <f>'متطلبات الإيرادات'!G10</f>
        <v>69.063000000000002</v>
      </c>
      <c r="F46" s="106">
        <f>-E46</f>
        <v>-69.063000000000002</v>
      </c>
      <c r="G46" s="106"/>
      <c r="H46" s="106"/>
      <c r="I46" s="106"/>
      <c r="J46" s="106"/>
      <c r="K46" s="106"/>
      <c r="L46" s="106"/>
      <c r="M46" s="106"/>
      <c r="N46" s="106"/>
      <c r="O46" s="106"/>
      <c r="P46" s="106"/>
    </row>
    <row r="47" spans="2:28" x14ac:dyDescent="0.3">
      <c r="B47" s="61" t="s">
        <v>90</v>
      </c>
      <c r="E47" s="106">
        <f>'متطلبات الإيرادات'!G11</f>
        <v>681.37</v>
      </c>
      <c r="F47" s="106">
        <f t="shared" ref="F47:N47" si="15">F48+F49</f>
        <v>-170.3425</v>
      </c>
      <c r="G47" s="106">
        <f t="shared" si="15"/>
        <v>-511.02750000000003</v>
      </c>
      <c r="H47" s="106">
        <f t="shared" si="15"/>
        <v>0</v>
      </c>
      <c r="I47" s="106">
        <f t="shared" si="15"/>
        <v>0</v>
      </c>
      <c r="J47" s="106">
        <f t="shared" si="15"/>
        <v>0</v>
      </c>
      <c r="K47" s="106">
        <f t="shared" si="15"/>
        <v>0</v>
      </c>
      <c r="L47" s="106">
        <f t="shared" si="15"/>
        <v>0</v>
      </c>
      <c r="M47" s="106">
        <f t="shared" si="15"/>
        <v>0</v>
      </c>
      <c r="N47" s="106">
        <f t="shared" si="15"/>
        <v>0</v>
      </c>
      <c r="O47" s="106"/>
      <c r="P47" s="106"/>
    </row>
    <row r="48" spans="2:28" x14ac:dyDescent="0.3">
      <c r="B48" s="113" t="s">
        <v>91</v>
      </c>
      <c r="E48" s="106">
        <f>'متطلبات الإيرادات'!G12</f>
        <v>511.02750000000003</v>
      </c>
      <c r="F48" s="106"/>
      <c r="G48" s="106">
        <f>-E48</f>
        <v>-511.02750000000003</v>
      </c>
      <c r="H48" s="106"/>
      <c r="I48" s="106"/>
      <c r="J48" s="106"/>
      <c r="K48" s="106"/>
      <c r="L48" s="106"/>
      <c r="M48" s="106"/>
      <c r="N48" s="106"/>
      <c r="O48" s="106"/>
      <c r="P48" s="106"/>
    </row>
    <row r="49" spans="2:28" x14ac:dyDescent="0.3">
      <c r="B49" s="113" t="s">
        <v>92</v>
      </c>
      <c r="E49" s="106">
        <f>'متطلبات الإيرادات'!G13</f>
        <v>170.3425</v>
      </c>
      <c r="F49" s="106">
        <f>-E49</f>
        <v>-170.3425</v>
      </c>
      <c r="G49" s="106"/>
      <c r="H49" s="106"/>
      <c r="I49" s="106"/>
      <c r="J49" s="106"/>
      <c r="K49" s="106"/>
      <c r="L49" s="106"/>
      <c r="M49" s="106"/>
      <c r="N49" s="106"/>
      <c r="O49" s="106"/>
      <c r="P49" s="106"/>
    </row>
    <row r="50" spans="2:28" x14ac:dyDescent="0.3">
      <c r="B50" s="61" t="s">
        <v>93</v>
      </c>
      <c r="E50" s="106">
        <f>'متطلبات الإيرادات'!G14</f>
        <v>0</v>
      </c>
      <c r="F50" s="106"/>
      <c r="G50" s="106">
        <f>-E50</f>
        <v>0</v>
      </c>
      <c r="H50" s="106"/>
      <c r="I50" s="106"/>
      <c r="J50" s="106"/>
      <c r="K50" s="106"/>
      <c r="L50" s="106"/>
      <c r="M50" s="106"/>
      <c r="N50" s="106"/>
      <c r="O50" s="106"/>
      <c r="P50" s="106"/>
    </row>
    <row r="51" spans="2:28" x14ac:dyDescent="0.3">
      <c r="B51" s="61" t="s">
        <v>94</v>
      </c>
      <c r="E51" s="106">
        <f>'متطلبات الإيرادات'!G15</f>
        <v>45.035999999999994</v>
      </c>
      <c r="F51" s="106"/>
      <c r="G51" s="106"/>
      <c r="H51" s="106">
        <f>-E51</f>
        <v>-45.035999999999994</v>
      </c>
      <c r="I51" s="106"/>
      <c r="J51" s="106"/>
      <c r="K51" s="106"/>
      <c r="L51" s="106"/>
      <c r="M51" s="106"/>
      <c r="N51" s="106"/>
      <c r="O51" s="106"/>
      <c r="P51" s="106"/>
    </row>
    <row r="52" spans="2:28" x14ac:dyDescent="0.3">
      <c r="B52" s="61" t="s">
        <v>95</v>
      </c>
      <c r="E52" s="106">
        <f>'متطلبات الإيرادات'!G16</f>
        <v>334.36099999999999</v>
      </c>
      <c r="F52" s="106"/>
      <c r="G52" s="106"/>
      <c r="H52" s="106"/>
      <c r="I52" s="106"/>
      <c r="J52" s="106">
        <f>-E52</f>
        <v>-334.36099999999999</v>
      </c>
      <c r="K52" s="106"/>
      <c r="L52" s="106"/>
      <c r="M52" s="106"/>
      <c r="N52" s="106"/>
      <c r="O52" s="106"/>
      <c r="P52" s="106"/>
    </row>
    <row r="53" spans="2:28" x14ac:dyDescent="0.3">
      <c r="B53" s="61" t="s">
        <v>266</v>
      </c>
      <c r="E53" s="106">
        <f>'متطلبات الإيرادات'!G17</f>
        <v>130.64300000000003</v>
      </c>
      <c r="F53" s="106"/>
      <c r="G53" s="106"/>
      <c r="H53" s="106">
        <f>-E53</f>
        <v>-130.64300000000003</v>
      </c>
      <c r="I53" s="106"/>
      <c r="J53" s="106"/>
      <c r="K53" s="106"/>
      <c r="L53" s="106"/>
      <c r="M53" s="106"/>
      <c r="N53" s="106"/>
      <c r="O53" s="106"/>
      <c r="P53" s="106"/>
    </row>
    <row r="54" spans="2:28" x14ac:dyDescent="0.3">
      <c r="B54" s="61" t="s">
        <v>461</v>
      </c>
      <c r="E54" s="106">
        <f>'متطلبات الإيرادات'!G18</f>
        <v>175.08929065394892</v>
      </c>
      <c r="F54" s="106">
        <f>F55-F56</f>
        <v>0</v>
      </c>
      <c r="G54" s="106">
        <f t="shared" ref="G54:N54" si="16">G55-G56</f>
        <v>0</v>
      </c>
      <c r="H54" s="106">
        <f t="shared" si="16"/>
        <v>0</v>
      </c>
      <c r="I54" s="106">
        <f t="shared" si="16"/>
        <v>0</v>
      </c>
      <c r="J54" s="106">
        <f t="shared" si="16"/>
        <v>0</v>
      </c>
      <c r="K54" s="106">
        <f t="shared" si="16"/>
        <v>-175.08929065394892</v>
      </c>
      <c r="L54" s="106">
        <f t="shared" si="16"/>
        <v>0</v>
      </c>
      <c r="M54" s="106">
        <f t="shared" si="16"/>
        <v>0</v>
      </c>
      <c r="N54" s="106">
        <f t="shared" si="16"/>
        <v>0</v>
      </c>
      <c r="O54" s="106"/>
      <c r="P54" s="106"/>
    </row>
    <row r="55" spans="2:28" x14ac:dyDescent="0.3">
      <c r="B55" s="114" t="s">
        <v>98</v>
      </c>
      <c r="C55" s="113"/>
      <c r="D55" s="113"/>
      <c r="E55" s="106">
        <f>'متطلبات الإيرادات'!G19</f>
        <v>199.63800000000001</v>
      </c>
      <c r="F55" s="106"/>
      <c r="G55" s="106"/>
      <c r="H55" s="106"/>
      <c r="I55" s="106"/>
      <c r="J55" s="106"/>
      <c r="K55" s="106">
        <f>-E55</f>
        <v>-199.63800000000001</v>
      </c>
      <c r="L55" s="106"/>
      <c r="M55" s="106"/>
      <c r="N55" s="106"/>
      <c r="O55" s="106"/>
      <c r="P55" s="106"/>
    </row>
    <row r="56" spans="2:28" x14ac:dyDescent="0.3">
      <c r="B56" s="114" t="s">
        <v>462</v>
      </c>
      <c r="C56" s="113"/>
      <c r="D56" s="113"/>
      <c r="E56" s="106">
        <f>'متطلبات الإيرادات'!G20</f>
        <v>24.548709346051073</v>
      </c>
      <c r="F56" s="106"/>
      <c r="G56" s="106"/>
      <c r="H56" s="106"/>
      <c r="I56" s="106"/>
      <c r="J56" s="106"/>
      <c r="K56" s="106">
        <f>-E56</f>
        <v>-24.548709346051073</v>
      </c>
      <c r="L56" s="106"/>
      <c r="M56" s="106"/>
      <c r="N56" s="106"/>
      <c r="O56" s="106"/>
      <c r="P56" s="106"/>
    </row>
    <row r="57" spans="2:28" x14ac:dyDescent="0.3">
      <c r="B57" s="61" t="s">
        <v>100</v>
      </c>
      <c r="E57" s="106">
        <f>'متطلبات الإيرادات'!G21</f>
        <v>0</v>
      </c>
      <c r="F57" s="106"/>
      <c r="G57" s="106"/>
      <c r="H57" s="106"/>
      <c r="I57" s="106"/>
      <c r="J57" s="106"/>
      <c r="K57" s="106">
        <f>-D57</f>
        <v>0</v>
      </c>
      <c r="L57" s="106">
        <f>-E57</f>
        <v>0</v>
      </c>
      <c r="M57" s="106">
        <f>-F57</f>
        <v>0</v>
      </c>
      <c r="N57" s="106">
        <f>-G57</f>
        <v>0</v>
      </c>
      <c r="O57" s="106"/>
      <c r="P57" s="106"/>
    </row>
    <row r="58" spans="2:28" x14ac:dyDescent="0.3">
      <c r="B58" s="61" t="s">
        <v>79</v>
      </c>
      <c r="E58" s="106">
        <f>'متطلبات الإيرادات'!G22</f>
        <v>11.093</v>
      </c>
      <c r="F58" s="106"/>
      <c r="G58" s="106"/>
      <c r="H58" s="106"/>
      <c r="I58" s="106"/>
      <c r="J58" s="106"/>
      <c r="K58" s="106"/>
      <c r="L58" s="106"/>
      <c r="M58" s="106">
        <f>-E58</f>
        <v>-11.093</v>
      </c>
      <c r="N58" s="106"/>
      <c r="O58" s="106"/>
      <c r="P58" s="106"/>
    </row>
    <row r="59" spans="2:28" x14ac:dyDescent="0.3">
      <c r="B59" s="115" t="s">
        <v>267</v>
      </c>
      <c r="F59" s="106"/>
      <c r="G59" s="106"/>
      <c r="H59" s="106"/>
      <c r="I59" s="106"/>
      <c r="J59" s="106"/>
      <c r="K59" s="106"/>
      <c r="L59" s="106"/>
      <c r="M59" s="106"/>
      <c r="N59" s="106"/>
      <c r="O59" s="106"/>
      <c r="P59" s="106"/>
    </row>
    <row r="60" spans="2:28" x14ac:dyDescent="0.3">
      <c r="B60" s="116" t="s">
        <v>268</v>
      </c>
      <c r="E60" s="106">
        <f>'متطلبات الإيرادات'!G25</f>
        <v>21.45</v>
      </c>
      <c r="F60" s="106"/>
      <c r="G60" s="106"/>
      <c r="H60" s="106"/>
      <c r="I60" s="106"/>
      <c r="J60" s="106"/>
      <c r="K60" s="106"/>
      <c r="L60" s="106"/>
      <c r="M60" s="106"/>
      <c r="N60" s="106">
        <f>E60</f>
        <v>21.45</v>
      </c>
      <c r="O60" s="106"/>
      <c r="P60" s="106"/>
    </row>
    <row r="61" spans="2:28" x14ac:dyDescent="0.3">
      <c r="B61" s="116" t="s">
        <v>80</v>
      </c>
      <c r="E61" s="106">
        <f>'متطلبات الإيرادات'!G26</f>
        <v>1.784</v>
      </c>
      <c r="F61" s="106"/>
      <c r="G61" s="106"/>
      <c r="H61" s="106"/>
      <c r="I61" s="106"/>
      <c r="J61" s="106"/>
      <c r="K61" s="106"/>
      <c r="L61" s="106"/>
      <c r="M61" s="106"/>
      <c r="N61" s="106">
        <f t="shared" ref="N61:N63" si="17">E61</f>
        <v>1.784</v>
      </c>
      <c r="O61" s="106"/>
      <c r="P61" s="106"/>
    </row>
    <row r="62" spans="2:28" x14ac:dyDescent="0.3">
      <c r="B62" s="116" t="s">
        <v>73</v>
      </c>
      <c r="E62" s="106">
        <f>'متطلبات الإيرادات'!G27</f>
        <v>0</v>
      </c>
      <c r="F62" s="106"/>
      <c r="G62" s="106"/>
      <c r="H62" s="106"/>
      <c r="I62" s="106"/>
      <c r="J62" s="106"/>
      <c r="K62" s="106"/>
      <c r="L62" s="106"/>
      <c r="M62" s="106"/>
      <c r="N62" s="106">
        <f t="shared" si="17"/>
        <v>0</v>
      </c>
      <c r="O62" s="106"/>
      <c r="P62" s="106"/>
    </row>
    <row r="63" spans="2:28" x14ac:dyDescent="0.3">
      <c r="B63" s="116" t="s">
        <v>102</v>
      </c>
      <c r="E63" s="106">
        <f>'متطلبات الإيرادات'!G28</f>
        <v>0</v>
      </c>
      <c r="F63" s="106"/>
      <c r="G63" s="106"/>
      <c r="H63" s="106"/>
      <c r="I63" s="106"/>
      <c r="J63" s="106"/>
      <c r="K63" s="106"/>
      <c r="L63" s="106"/>
      <c r="M63" s="106"/>
      <c r="N63" s="106">
        <f t="shared" si="17"/>
        <v>0</v>
      </c>
      <c r="O63" s="106"/>
      <c r="P63" s="106"/>
    </row>
    <row r="64" spans="2:28" x14ac:dyDescent="0.3">
      <c r="D64" s="61" t="s">
        <v>243</v>
      </c>
      <c r="E64" s="106">
        <f t="shared" ref="E64:L64" si="18">SUM(E46,E47,E50:E54,E57:E58)-SUM(E60:E63)</f>
        <v>1423.421290653949</v>
      </c>
      <c r="F64" s="106">
        <f t="shared" si="18"/>
        <v>-239.40550000000002</v>
      </c>
      <c r="G64" s="106">
        <f t="shared" si="18"/>
        <v>-511.02750000000003</v>
      </c>
      <c r="H64" s="106">
        <f t="shared" si="18"/>
        <v>-175.67900000000003</v>
      </c>
      <c r="I64" s="106">
        <f t="shared" si="18"/>
        <v>0</v>
      </c>
      <c r="J64" s="106">
        <f t="shared" si="18"/>
        <v>-334.36099999999999</v>
      </c>
      <c r="K64" s="106">
        <f t="shared" si="18"/>
        <v>-175.08929065394892</v>
      </c>
      <c r="L64" s="106">
        <f t="shared" si="18"/>
        <v>0</v>
      </c>
      <c r="M64" s="106">
        <f t="shared" ref="M64:N64" si="19">SUM(M46,M47,M50:M54,M57:M58)-SUM(M60:M63)</f>
        <v>-11.093</v>
      </c>
      <c r="N64" s="106">
        <f t="shared" si="19"/>
        <v>-23.233999999999998</v>
      </c>
      <c r="O64" s="106"/>
      <c r="P64" s="106"/>
      <c r="Q64" s="106"/>
      <c r="R64" s="106"/>
      <c r="S64" s="106"/>
      <c r="T64" s="106"/>
      <c r="U64" s="106"/>
      <c r="V64" s="106"/>
      <c r="W64" s="106"/>
      <c r="X64" s="106"/>
      <c r="Y64" s="106"/>
      <c r="Z64" s="106"/>
      <c r="AA64" s="106"/>
      <c r="AB64" s="106"/>
    </row>
    <row r="65" spans="2:28" x14ac:dyDescent="0.3">
      <c r="B65" s="69"/>
      <c r="F65" s="106"/>
      <c r="G65" s="106"/>
      <c r="H65" s="106"/>
      <c r="I65" s="106"/>
      <c r="J65" s="106"/>
      <c r="K65" s="106"/>
      <c r="L65" s="106"/>
      <c r="M65" s="106"/>
      <c r="N65" s="106"/>
      <c r="O65" s="106"/>
      <c r="P65" s="106"/>
    </row>
    <row r="66" spans="2:28" x14ac:dyDescent="0.3">
      <c r="D66" s="65" t="s">
        <v>17</v>
      </c>
      <c r="E66" s="117">
        <f t="shared" ref="E66:L66" si="20">SUM(E14,E19,E25,E31,E37,E43,E64)</f>
        <v>1423.421290653949</v>
      </c>
      <c r="F66" s="117">
        <f t="shared" si="20"/>
        <v>0</v>
      </c>
      <c r="G66" s="117">
        <f t="shared" si="20"/>
        <v>0</v>
      </c>
      <c r="H66" s="117">
        <f t="shared" si="20"/>
        <v>0</v>
      </c>
      <c r="I66" s="117">
        <f t="shared" si="20"/>
        <v>1849.9637489725283</v>
      </c>
      <c r="J66" s="117">
        <f t="shared" si="20"/>
        <v>0</v>
      </c>
      <c r="K66" s="117">
        <f t="shared" si="20"/>
        <v>0</v>
      </c>
      <c r="L66" s="117">
        <f t="shared" si="20"/>
        <v>0</v>
      </c>
      <c r="M66" s="117">
        <f t="shared" ref="M66:P66" si="21">SUM(M14,M19,M25,M31,M37,M43,M64)</f>
        <v>0</v>
      </c>
      <c r="N66" s="117">
        <f t="shared" si="21"/>
        <v>0</v>
      </c>
      <c r="O66" s="117">
        <f t="shared" si="21"/>
        <v>1423.4212906539487</v>
      </c>
      <c r="P66" s="117">
        <f t="shared" si="21"/>
        <v>1423.421290653949</v>
      </c>
      <c r="Q66" s="117"/>
      <c r="R66" s="117"/>
      <c r="S66" s="117"/>
      <c r="T66" s="117"/>
      <c r="U66" s="117"/>
      <c r="V66" s="117"/>
      <c r="W66" s="117"/>
      <c r="X66" s="117"/>
      <c r="Y66" s="117"/>
      <c r="Z66" s="117"/>
      <c r="AA66" s="117"/>
      <c r="AB66" s="117"/>
    </row>
  </sheetData>
  <mergeCells count="5">
    <mergeCell ref="E7:E9"/>
    <mergeCell ref="F7:N7"/>
    <mergeCell ref="O7:O9"/>
    <mergeCell ref="B7:D9"/>
    <mergeCell ref="P7:P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CB30-A1EE-42A3-9F1C-296607102CF9}">
  <dimension ref="B2:Z108"/>
  <sheetViews>
    <sheetView showGridLines="0" rightToLeft="1" zoomScale="120" zoomScaleNormal="120" workbookViewId="0">
      <selection activeCell="A55" sqref="A1:XFD1048576"/>
    </sheetView>
  </sheetViews>
  <sheetFormatPr defaultColWidth="9.1796875" defaultRowHeight="13" x14ac:dyDescent="0.3"/>
  <cols>
    <col min="1" max="1" width="4.54296875" style="61" customWidth="1"/>
    <col min="2" max="2" width="21.81640625" style="61" customWidth="1"/>
    <col min="3" max="13" width="9.26953125" style="61" bestFit="1" customWidth="1"/>
    <col min="14" max="14" width="9.54296875" style="61" bestFit="1" customWidth="1"/>
    <col min="15" max="21" width="9.26953125" style="61" bestFit="1" customWidth="1"/>
    <col min="22" max="22" width="9.54296875" style="61" bestFit="1" customWidth="1"/>
    <col min="23" max="26" width="9.26953125" style="61" bestFit="1" customWidth="1"/>
    <col min="27" max="16384" width="9.1796875" style="61"/>
  </cols>
  <sheetData>
    <row r="2" spans="2:26" x14ac:dyDescent="0.3">
      <c r="F2" s="65" t="s">
        <v>283</v>
      </c>
    </row>
    <row r="3" spans="2:26" x14ac:dyDescent="0.3">
      <c r="F3" s="61" t="s">
        <v>86</v>
      </c>
    </row>
    <row r="4" spans="2:26" x14ac:dyDescent="0.3">
      <c r="F4" s="61" t="s">
        <v>87</v>
      </c>
    </row>
    <row r="6" spans="2:26" s="119" customFormat="1" ht="11.25" customHeight="1" x14ac:dyDescent="0.35">
      <c r="B6" s="118" t="s">
        <v>463</v>
      </c>
    </row>
    <row r="7" spans="2:26" s="119" customFormat="1" ht="11.25" customHeight="1" x14ac:dyDescent="0.35">
      <c r="B7" s="67" t="s">
        <v>284</v>
      </c>
    </row>
    <row r="8" spans="2:26" s="119" customFormat="1" ht="11.25" customHeight="1" x14ac:dyDescent="0.35">
      <c r="B8" s="67" t="s">
        <v>285</v>
      </c>
    </row>
    <row r="9" spans="2:26" s="119" customFormat="1" ht="11.25" customHeight="1" x14ac:dyDescent="0.35">
      <c r="B9" s="67" t="s">
        <v>286</v>
      </c>
    </row>
    <row r="10" spans="2:26" s="119" customFormat="1" ht="11.25" customHeight="1" x14ac:dyDescent="0.35">
      <c r="B10" s="67" t="s">
        <v>287</v>
      </c>
    </row>
    <row r="11" spans="2:26" s="119" customFormat="1" ht="11.25" customHeight="1" x14ac:dyDescent="0.35">
      <c r="B11" s="67" t="s">
        <v>288</v>
      </c>
    </row>
    <row r="14" spans="2:26" x14ac:dyDescent="0.3">
      <c r="C14" s="149" t="s">
        <v>302</v>
      </c>
      <c r="D14" s="149"/>
      <c r="E14" s="149"/>
      <c r="F14" s="149"/>
      <c r="G14" s="149"/>
      <c r="H14" s="149"/>
      <c r="I14" s="149"/>
      <c r="J14" s="149"/>
      <c r="K14" s="149"/>
      <c r="L14" s="143" t="s">
        <v>303</v>
      </c>
      <c r="M14" s="143"/>
      <c r="N14" s="143"/>
      <c r="O14" s="143"/>
      <c r="P14" s="143"/>
      <c r="Q14" s="143"/>
      <c r="R14" s="143"/>
      <c r="S14" s="143"/>
      <c r="T14" s="143"/>
      <c r="U14" s="143"/>
      <c r="V14" s="143"/>
      <c r="W14" s="143"/>
      <c r="X14" s="143"/>
      <c r="Y14" s="143"/>
      <c r="Z14" s="143"/>
    </row>
    <row r="15" spans="2:26" x14ac:dyDescent="0.3">
      <c r="C15" s="149"/>
      <c r="D15" s="149"/>
      <c r="E15" s="149"/>
      <c r="F15" s="149"/>
      <c r="G15" s="149"/>
      <c r="H15" s="149"/>
      <c r="I15" s="149"/>
      <c r="J15" s="149"/>
      <c r="K15" s="149"/>
      <c r="L15" s="152" t="s">
        <v>310</v>
      </c>
      <c r="M15" s="152"/>
      <c r="N15" s="152"/>
      <c r="O15" s="152" t="s">
        <v>298</v>
      </c>
      <c r="P15" s="152"/>
      <c r="Q15" s="152"/>
      <c r="R15" s="152" t="s">
        <v>299</v>
      </c>
      <c r="S15" s="152"/>
      <c r="T15" s="152"/>
      <c r="U15" s="152" t="s">
        <v>301</v>
      </c>
      <c r="V15" s="152"/>
      <c r="W15" s="152"/>
      <c r="X15" s="152" t="s">
        <v>300</v>
      </c>
      <c r="Y15" s="152"/>
      <c r="Z15" s="152"/>
    </row>
    <row r="16" spans="2:26" s="120" customFormat="1" ht="21" customHeight="1" x14ac:dyDescent="0.35">
      <c r="C16" s="120" t="s">
        <v>230</v>
      </c>
      <c r="D16" s="120" t="s">
        <v>281</v>
      </c>
      <c r="E16" s="120" t="s">
        <v>465</v>
      </c>
      <c r="F16" s="120" t="s">
        <v>290</v>
      </c>
      <c r="G16" s="120" t="s">
        <v>291</v>
      </c>
      <c r="H16" s="120" t="s">
        <v>292</v>
      </c>
      <c r="I16" s="120" t="s">
        <v>293</v>
      </c>
      <c r="J16" s="120" t="s">
        <v>294</v>
      </c>
      <c r="K16" s="120" t="s">
        <v>295</v>
      </c>
      <c r="M16" s="120" t="s">
        <v>296</v>
      </c>
      <c r="N16" s="120" t="s">
        <v>297</v>
      </c>
      <c r="P16" s="120" t="s">
        <v>296</v>
      </c>
      <c r="Q16" s="120" t="s">
        <v>297</v>
      </c>
      <c r="S16" s="120" t="s">
        <v>296</v>
      </c>
      <c r="T16" s="120" t="s">
        <v>297</v>
      </c>
      <c r="V16" s="120" t="s">
        <v>296</v>
      </c>
      <c r="W16" s="120" t="s">
        <v>297</v>
      </c>
      <c r="Y16" s="120" t="s">
        <v>296</v>
      </c>
      <c r="Z16" s="120" t="s">
        <v>297</v>
      </c>
    </row>
    <row r="17" spans="2:26" x14ac:dyDescent="0.3">
      <c r="B17" s="100"/>
    </row>
    <row r="18" spans="2:26" ht="21.5" customHeight="1" x14ac:dyDescent="0.3">
      <c r="B18" s="121" t="s">
        <v>464</v>
      </c>
    </row>
    <row r="19" spans="2:26" x14ac:dyDescent="0.3">
      <c r="B19" s="69" t="s">
        <v>310</v>
      </c>
      <c r="C19" s="106"/>
      <c r="K19" s="106">
        <f>$C$24*SUMIF(العميل!$G$12:$G$42,"HV",العميل!$V$12:$V$42)/العميل!$V$43</f>
        <v>654.79030468091037</v>
      </c>
      <c r="L19" s="106"/>
      <c r="M19" s="106">
        <f>K19</f>
        <v>654.79030468091037</v>
      </c>
      <c r="N19" s="106"/>
      <c r="O19" s="106"/>
      <c r="P19" s="106"/>
      <c r="Q19" s="106"/>
      <c r="R19" s="106"/>
      <c r="S19" s="106"/>
      <c r="T19" s="106"/>
      <c r="U19" s="106"/>
      <c r="V19" s="106"/>
      <c r="W19" s="106"/>
      <c r="X19" s="106"/>
      <c r="Y19" s="106"/>
      <c r="Z19" s="106"/>
    </row>
    <row r="20" spans="2:26" x14ac:dyDescent="0.3">
      <c r="B20" s="69" t="s">
        <v>298</v>
      </c>
      <c r="C20" s="106"/>
      <c r="K20" s="106">
        <f>$C$24*SUMIFS(العميل!$V$12:$V$42,العميل!$G$12:$G$42,"MV",العميل!$F$12:$F$42,"Urban")/العميل!$V$43</f>
        <v>185.11421851984727</v>
      </c>
      <c r="L20" s="106"/>
      <c r="M20" s="106"/>
      <c r="N20" s="106"/>
      <c r="O20" s="106"/>
      <c r="P20" s="106">
        <f>K20</f>
        <v>185.11421851984727</v>
      </c>
      <c r="Q20" s="106"/>
      <c r="R20" s="106"/>
      <c r="S20" s="106"/>
      <c r="T20" s="106"/>
      <c r="U20" s="106"/>
      <c r="V20" s="106"/>
      <c r="W20" s="106"/>
      <c r="X20" s="106"/>
      <c r="Y20" s="106"/>
      <c r="Z20" s="106"/>
    </row>
    <row r="21" spans="2:26" x14ac:dyDescent="0.3">
      <c r="B21" s="69" t="s">
        <v>299</v>
      </c>
      <c r="C21" s="106"/>
      <c r="K21" s="106">
        <f>$C$24*SUMIFS(العميل!$V$12:$V$42,العميل!$G$12:$G$42,"MV",العميل!$F$12:$F$42,"Rural")/العميل!$V$43</f>
        <v>0</v>
      </c>
      <c r="L21" s="106"/>
      <c r="M21" s="106"/>
      <c r="N21" s="106"/>
      <c r="O21" s="106"/>
      <c r="P21" s="106"/>
      <c r="Q21" s="106"/>
      <c r="R21" s="106"/>
      <c r="S21" s="106">
        <f>K21</f>
        <v>0</v>
      </c>
      <c r="T21" s="106"/>
      <c r="U21" s="106"/>
      <c r="V21" s="106"/>
      <c r="W21" s="106"/>
      <c r="X21" s="106"/>
      <c r="Y21" s="106"/>
      <c r="Z21" s="106"/>
    </row>
    <row r="22" spans="2:26" x14ac:dyDescent="0.3">
      <c r="B22" s="69" t="s">
        <v>301</v>
      </c>
      <c r="C22" s="106"/>
      <c r="K22" s="106">
        <f>$C$24*SUMIFS(العميل!$V$12:$V$42,العميل!$G$12:$G$42,"LV",العميل!$F$12:$F$42,"Urban")/العميل!$V$43</f>
        <v>1368.5797972481962</v>
      </c>
      <c r="L22" s="106"/>
      <c r="M22" s="106"/>
      <c r="N22" s="106"/>
      <c r="O22" s="106"/>
      <c r="P22" s="106"/>
      <c r="Q22" s="106"/>
      <c r="R22" s="106"/>
      <c r="S22" s="106"/>
      <c r="T22" s="106"/>
      <c r="U22" s="106"/>
      <c r="V22" s="106">
        <f>K22</f>
        <v>1368.5797972481962</v>
      </c>
      <c r="W22" s="106"/>
      <c r="X22" s="106"/>
      <c r="Y22" s="106"/>
      <c r="Z22" s="106"/>
    </row>
    <row r="23" spans="2:26" x14ac:dyDescent="0.3">
      <c r="B23" s="69" t="s">
        <v>300</v>
      </c>
      <c r="C23" s="106"/>
      <c r="K23" s="106">
        <f>$C$24*SUMIFS(العميل!$V$12:$V$42,العميل!$G$12:$G$42,"LV",العميل!$F$12:$F$42,"Rural")/العميل!$V$43</f>
        <v>0</v>
      </c>
      <c r="L23" s="106"/>
      <c r="M23" s="106"/>
      <c r="N23" s="106"/>
      <c r="O23" s="106"/>
      <c r="P23" s="106"/>
      <c r="Q23" s="106"/>
      <c r="R23" s="106"/>
      <c r="S23" s="106"/>
      <c r="T23" s="106"/>
      <c r="U23" s="106"/>
      <c r="V23" s="106"/>
      <c r="W23" s="106"/>
      <c r="X23" s="106"/>
      <c r="Y23" s="106">
        <f>K23</f>
        <v>0</v>
      </c>
      <c r="Z23" s="106"/>
    </row>
    <row r="24" spans="2:26" x14ac:dyDescent="0.3">
      <c r="B24" s="61" t="s">
        <v>243</v>
      </c>
      <c r="C24" s="106">
        <f>الأصول!T16</f>
        <v>2208.4843204489539</v>
      </c>
      <c r="K24" s="106">
        <f>SUM(K19:K23)</f>
        <v>2208.4843204489539</v>
      </c>
      <c r="L24" s="106"/>
      <c r="M24" s="106">
        <f t="shared" ref="M24:Z24" si="0">SUM(M19:M23)</f>
        <v>654.79030468091037</v>
      </c>
      <c r="N24" s="106">
        <f t="shared" si="0"/>
        <v>0</v>
      </c>
      <c r="O24" s="106"/>
      <c r="P24" s="106">
        <f t="shared" si="0"/>
        <v>185.11421851984727</v>
      </c>
      <c r="Q24" s="106">
        <f t="shared" si="0"/>
        <v>0</v>
      </c>
      <c r="R24" s="106"/>
      <c r="S24" s="106">
        <f t="shared" si="0"/>
        <v>0</v>
      </c>
      <c r="T24" s="106">
        <f t="shared" si="0"/>
        <v>0</v>
      </c>
      <c r="U24" s="106"/>
      <c r="V24" s="106">
        <f t="shared" si="0"/>
        <v>1368.5797972481962</v>
      </c>
      <c r="W24" s="106">
        <f t="shared" si="0"/>
        <v>0</v>
      </c>
      <c r="X24" s="106"/>
      <c r="Y24" s="106">
        <f t="shared" si="0"/>
        <v>0</v>
      </c>
      <c r="Z24" s="106">
        <f t="shared" si="0"/>
        <v>0</v>
      </c>
    </row>
    <row r="25" spans="2:26" x14ac:dyDescent="0.3">
      <c r="B25" s="100"/>
      <c r="L25" s="106"/>
      <c r="M25" s="106"/>
      <c r="N25" s="106"/>
      <c r="O25" s="106"/>
      <c r="P25" s="106"/>
      <c r="Q25" s="106"/>
      <c r="R25" s="106"/>
      <c r="S25" s="106"/>
      <c r="T25" s="106"/>
      <c r="U25" s="106"/>
      <c r="V25" s="106"/>
      <c r="W25" s="106"/>
      <c r="X25" s="106"/>
      <c r="Y25" s="106"/>
      <c r="Z25" s="106"/>
    </row>
    <row r="26" spans="2:26" x14ac:dyDescent="0.3">
      <c r="B26" s="100" t="s">
        <v>305</v>
      </c>
      <c r="L26" s="106"/>
      <c r="M26" s="106"/>
      <c r="N26" s="106"/>
      <c r="O26" s="106"/>
      <c r="P26" s="106"/>
      <c r="Q26" s="106"/>
      <c r="R26" s="106"/>
      <c r="S26" s="106"/>
      <c r="T26" s="106"/>
      <c r="U26" s="106"/>
      <c r="V26" s="106"/>
      <c r="W26" s="106"/>
      <c r="X26" s="106"/>
      <c r="Y26" s="106"/>
      <c r="Z26" s="106"/>
    </row>
    <row r="27" spans="2:26" x14ac:dyDescent="0.3">
      <c r="B27" s="69" t="s">
        <v>310</v>
      </c>
      <c r="C27" s="106">
        <f>الأصول!T19</f>
        <v>1763.3548895170184</v>
      </c>
      <c r="D27" s="106">
        <f>SUMIF(العميل!$G$12:$G$42,"HV",العميل!$V$12:$V$42)</f>
        <v>149.31698400583628</v>
      </c>
      <c r="E27" s="122">
        <f>D27/SUM($D$27:$D$29)</f>
        <v>0.2964885458402533</v>
      </c>
      <c r="F27" s="123">
        <f>$E27*$C27</f>
        <v>522.8145269932013</v>
      </c>
      <c r="G27" s="119"/>
      <c r="H27" s="123"/>
      <c r="I27" s="123"/>
      <c r="J27" s="123"/>
      <c r="K27" s="124">
        <f>F27</f>
        <v>522.8145269932013</v>
      </c>
      <c r="L27" s="106"/>
      <c r="M27" s="106">
        <f>K27</f>
        <v>522.8145269932013</v>
      </c>
      <c r="N27" s="106"/>
      <c r="O27" s="106"/>
      <c r="P27" s="106"/>
      <c r="Q27" s="106"/>
      <c r="R27" s="106"/>
      <c r="S27" s="106"/>
      <c r="T27" s="106"/>
      <c r="U27" s="106"/>
      <c r="V27" s="106"/>
      <c r="W27" s="106"/>
      <c r="X27" s="106"/>
      <c r="Y27" s="106"/>
      <c r="Z27" s="106"/>
    </row>
    <row r="28" spans="2:26" x14ac:dyDescent="0.3">
      <c r="B28" s="69" t="s">
        <v>325</v>
      </c>
      <c r="C28" s="106">
        <f>الأصول!T24+الأصول!T29</f>
        <v>781.23148968924625</v>
      </c>
      <c r="D28" s="106">
        <f>SUMIF(العميل!$G$12:$G$42,"MV",العميل!$V$12:$V$42)</f>
        <v>42.213051427892879</v>
      </c>
      <c r="E28" s="122">
        <f t="shared" ref="E28:E29" si="1">D28/SUM($D$27:$D$29)</f>
        <v>8.3819575627422219E-2</v>
      </c>
      <c r="F28" s="123"/>
      <c r="G28" s="123">
        <f>$C27-F27</f>
        <v>1240.5403625238171</v>
      </c>
      <c r="H28" s="123">
        <f>(G28+C28)*E28</f>
        <v>169.46405866796636</v>
      </c>
      <c r="I28" s="119"/>
      <c r="J28" s="123"/>
      <c r="K28" s="124">
        <f>H28</f>
        <v>169.46405866796636</v>
      </c>
      <c r="L28" s="106"/>
      <c r="M28" s="106"/>
      <c r="N28" s="106"/>
      <c r="O28" s="106"/>
      <c r="P28" s="106">
        <f>$K$28*SUMIFS(العميل!$V$12:$V$42,العميل!$G$12:$G$42,"MV",العميل!$F$12:$F$42,"Urban")/SUMIFS(العميل!$V$12:$V$42,العميل!$G$12:$G$42,"MV")</f>
        <v>169.46405866796636</v>
      </c>
      <c r="Q28" s="106"/>
      <c r="R28" s="106"/>
      <c r="S28" s="106">
        <f>$K$28*SUMIFS(العميل!$V$12:$V$42,العميل!$G$12:$G$42,"MV",العميل!$F$12:$F$42,"Rural")/SUMIFS(العميل!$V$12:$V$42,العميل!$G$12:$G$42,"MV")</f>
        <v>0</v>
      </c>
      <c r="T28" s="106"/>
      <c r="U28" s="106"/>
      <c r="V28" s="106"/>
      <c r="W28" s="106"/>
      <c r="X28" s="106"/>
      <c r="Y28" s="106"/>
      <c r="Z28" s="106"/>
    </row>
    <row r="29" spans="2:26" x14ac:dyDescent="0.3">
      <c r="B29" s="69" t="s">
        <v>326</v>
      </c>
      <c r="C29" s="106">
        <f>الأصول!T34+الأصول!T39</f>
        <v>34.202974240605769</v>
      </c>
      <c r="D29" s="106">
        <f>SUMIF(العميل!$G$12:$G$42,"LV",العميل!$V$12:$V$42)</f>
        <v>312.08801693544262</v>
      </c>
      <c r="E29" s="122">
        <f t="shared" si="1"/>
        <v>0.61969187853232444</v>
      </c>
      <c r="F29" s="123"/>
      <c r="G29" s="123"/>
      <c r="H29" s="123"/>
      <c r="I29" s="123">
        <f>C28+G28-H28</f>
        <v>1852.307793545097</v>
      </c>
      <c r="J29" s="123">
        <f>I29+C29</f>
        <v>1886.5107677857027</v>
      </c>
      <c r="K29" s="124">
        <f>J29</f>
        <v>1886.5107677857027</v>
      </c>
      <c r="L29" s="106"/>
      <c r="M29" s="106"/>
      <c r="N29" s="106"/>
      <c r="O29" s="106"/>
      <c r="P29" s="106"/>
      <c r="Q29" s="106"/>
      <c r="R29" s="106"/>
      <c r="S29" s="106"/>
      <c r="T29" s="106"/>
      <c r="U29" s="106"/>
      <c r="V29" s="106">
        <f>$K$29*SUMIFS(العميل!$V$12:$V$42,العميل!$G$12:$G$42,"LV",العميل!$F$12:$F$42,"Urban")/SUMIFS(العميل!$V$12:$V$42,العميل!$G$12:$G$42,"LV")</f>
        <v>1886.5107677857029</v>
      </c>
      <c r="W29" s="106"/>
      <c r="X29" s="106"/>
      <c r="Y29" s="106">
        <f>$K$29*SUMIFS(العميل!$V$12:$V$42,العميل!$G$12:$G$42,"LV",العميل!$F$12:$F$42,"Rural")/SUMIFS(العميل!$V$12:$V$42,العميل!$G$12:$G$42,"LV")</f>
        <v>0</v>
      </c>
      <c r="Z29" s="106"/>
    </row>
    <row r="30" spans="2:26" x14ac:dyDescent="0.3">
      <c r="B30" s="61" t="s">
        <v>243</v>
      </c>
      <c r="C30" s="106">
        <f>SUM(C27:C29)</f>
        <v>2578.7893534468703</v>
      </c>
      <c r="D30" s="106">
        <f>SUM(D27:D29)</f>
        <v>503.61805236917178</v>
      </c>
      <c r="E30" s="122">
        <f>SUM(E27:E29)</f>
        <v>1</v>
      </c>
      <c r="F30" s="123"/>
      <c r="G30" s="123"/>
      <c r="H30" s="123"/>
      <c r="I30" s="123"/>
      <c r="J30" s="123"/>
      <c r="K30" s="106">
        <f>SUM(K27:K29)</f>
        <v>2578.7893534468703</v>
      </c>
      <c r="L30" s="106"/>
      <c r="M30" s="106">
        <f t="shared" ref="M30:Z30" si="2">SUM(M27:M29)</f>
        <v>522.8145269932013</v>
      </c>
      <c r="N30" s="106">
        <f t="shared" si="2"/>
        <v>0</v>
      </c>
      <c r="O30" s="106"/>
      <c r="P30" s="106">
        <f t="shared" si="2"/>
        <v>169.46405866796636</v>
      </c>
      <c r="Q30" s="106">
        <f t="shared" si="2"/>
        <v>0</v>
      </c>
      <c r="R30" s="106"/>
      <c r="S30" s="106">
        <f t="shared" si="2"/>
        <v>0</v>
      </c>
      <c r="T30" s="106">
        <f t="shared" si="2"/>
        <v>0</v>
      </c>
      <c r="U30" s="106"/>
      <c r="V30" s="106">
        <f t="shared" si="2"/>
        <v>1886.5107677857029</v>
      </c>
      <c r="W30" s="106">
        <f t="shared" si="2"/>
        <v>0</v>
      </c>
      <c r="X30" s="106"/>
      <c r="Y30" s="106">
        <f t="shared" si="2"/>
        <v>0</v>
      </c>
      <c r="Z30" s="106">
        <f t="shared" si="2"/>
        <v>0</v>
      </c>
    </row>
    <row r="31" spans="2:26" x14ac:dyDescent="0.3">
      <c r="B31" s="100"/>
      <c r="L31" s="106"/>
      <c r="M31" s="106"/>
      <c r="N31" s="106"/>
      <c r="O31" s="106"/>
      <c r="P31" s="106"/>
      <c r="Q31" s="106"/>
      <c r="R31" s="106"/>
      <c r="S31" s="106"/>
      <c r="T31" s="106"/>
      <c r="U31" s="106"/>
      <c r="V31" s="106"/>
      <c r="W31" s="106"/>
      <c r="X31" s="106"/>
      <c r="Y31" s="106"/>
      <c r="Z31" s="106"/>
    </row>
    <row r="32" spans="2:26" x14ac:dyDescent="0.3">
      <c r="B32" s="100" t="s">
        <v>328</v>
      </c>
      <c r="L32" s="106"/>
      <c r="M32" s="106"/>
      <c r="N32" s="106"/>
      <c r="O32" s="106"/>
      <c r="P32" s="106"/>
      <c r="Q32" s="106"/>
      <c r="R32" s="106"/>
      <c r="S32" s="106"/>
      <c r="T32" s="106"/>
      <c r="U32" s="106"/>
      <c r="V32" s="106"/>
      <c r="W32" s="106"/>
      <c r="X32" s="106"/>
      <c r="Y32" s="106"/>
      <c r="Z32" s="106"/>
    </row>
    <row r="33" spans="2:26" x14ac:dyDescent="0.3">
      <c r="B33" s="69" t="s">
        <v>310</v>
      </c>
      <c r="C33" s="106">
        <f>الأصول!T20</f>
        <v>5.6882415790871557</v>
      </c>
      <c r="D33" s="106"/>
      <c r="E33" s="122"/>
      <c r="F33" s="123"/>
      <c r="G33" s="119"/>
      <c r="H33" s="123"/>
      <c r="I33" s="123"/>
      <c r="J33" s="123"/>
      <c r="K33" s="124">
        <f>C33</f>
        <v>5.6882415790871557</v>
      </c>
      <c r="L33" s="106"/>
      <c r="M33" s="106"/>
      <c r="N33" s="106">
        <f>K33</f>
        <v>5.6882415790871557</v>
      </c>
      <c r="O33" s="106"/>
      <c r="P33" s="106"/>
      <c r="Q33" s="106"/>
      <c r="R33" s="106"/>
      <c r="S33" s="106"/>
      <c r="T33" s="106"/>
      <c r="U33" s="106"/>
      <c r="V33" s="106"/>
      <c r="W33" s="106"/>
      <c r="X33" s="106"/>
      <c r="Y33" s="106"/>
      <c r="Z33" s="106"/>
    </row>
    <row r="34" spans="2:26" x14ac:dyDescent="0.3">
      <c r="B34" s="69" t="s">
        <v>298</v>
      </c>
      <c r="C34" s="106">
        <f>الأصول!T25</f>
        <v>30.975066283062521</v>
      </c>
      <c r="D34" s="106"/>
      <c r="E34" s="122"/>
      <c r="F34" s="123"/>
      <c r="G34" s="123"/>
      <c r="H34" s="123"/>
      <c r="I34" s="119"/>
      <c r="J34" s="123"/>
      <c r="K34" s="124">
        <f t="shared" ref="K34:K37" si="3">C34</f>
        <v>30.975066283062521</v>
      </c>
      <c r="L34" s="106"/>
      <c r="M34" s="106"/>
      <c r="N34" s="106"/>
      <c r="O34" s="106"/>
      <c r="P34" s="106"/>
      <c r="Q34" s="106">
        <f>K34</f>
        <v>30.975066283062521</v>
      </c>
      <c r="R34" s="106"/>
      <c r="S34" s="106"/>
      <c r="T34" s="106"/>
      <c r="U34" s="106"/>
      <c r="V34" s="106"/>
      <c r="W34" s="106"/>
      <c r="X34" s="106"/>
      <c r="Y34" s="106"/>
      <c r="Z34" s="106"/>
    </row>
    <row r="35" spans="2:26" x14ac:dyDescent="0.3">
      <c r="B35" s="69" t="s">
        <v>327</v>
      </c>
      <c r="C35" s="106">
        <f>الأصول!T30</f>
        <v>0</v>
      </c>
      <c r="D35" s="106"/>
      <c r="E35" s="122"/>
      <c r="F35" s="123"/>
      <c r="G35" s="123"/>
      <c r="H35" s="123"/>
      <c r="I35" s="119"/>
      <c r="J35" s="123"/>
      <c r="K35" s="124">
        <f t="shared" si="3"/>
        <v>0</v>
      </c>
      <c r="L35" s="106"/>
      <c r="M35" s="106"/>
      <c r="N35" s="106"/>
      <c r="O35" s="106"/>
      <c r="P35" s="106"/>
      <c r="Q35" s="106"/>
      <c r="R35" s="106"/>
      <c r="S35" s="106"/>
      <c r="T35" s="106">
        <f>K35</f>
        <v>0</v>
      </c>
      <c r="U35" s="106"/>
      <c r="V35" s="106"/>
      <c r="W35" s="106"/>
      <c r="X35" s="106"/>
      <c r="Y35" s="106"/>
      <c r="Z35" s="106"/>
    </row>
    <row r="36" spans="2:26" x14ac:dyDescent="0.3">
      <c r="B36" s="69" t="s">
        <v>301</v>
      </c>
      <c r="C36" s="106">
        <f>الأصول!T35</f>
        <v>58.570602379990085</v>
      </c>
      <c r="D36" s="106"/>
      <c r="E36" s="122"/>
      <c r="F36" s="123"/>
      <c r="G36" s="123"/>
      <c r="H36" s="123"/>
      <c r="I36" s="119"/>
      <c r="J36" s="123"/>
      <c r="K36" s="124">
        <f t="shared" si="3"/>
        <v>58.570602379990085</v>
      </c>
      <c r="L36" s="106"/>
      <c r="M36" s="106"/>
      <c r="N36" s="106"/>
      <c r="O36" s="106"/>
      <c r="P36" s="106"/>
      <c r="Q36" s="106"/>
      <c r="R36" s="106"/>
      <c r="S36" s="106"/>
      <c r="T36" s="106"/>
      <c r="U36" s="106"/>
      <c r="V36" s="106"/>
      <c r="W36" s="106">
        <f>K36</f>
        <v>58.570602379990085</v>
      </c>
      <c r="X36" s="106"/>
      <c r="Y36" s="106"/>
      <c r="Z36" s="106"/>
    </row>
    <row r="37" spans="2:26" x14ac:dyDescent="0.3">
      <c r="B37" s="69" t="s">
        <v>300</v>
      </c>
      <c r="C37" s="106">
        <f>الأصول!T40</f>
        <v>0</v>
      </c>
      <c r="D37" s="106"/>
      <c r="E37" s="122"/>
      <c r="F37" s="123"/>
      <c r="G37" s="123"/>
      <c r="H37" s="123"/>
      <c r="I37" s="123"/>
      <c r="J37" s="123"/>
      <c r="K37" s="124">
        <f t="shared" si="3"/>
        <v>0</v>
      </c>
      <c r="L37" s="106"/>
      <c r="M37" s="106"/>
      <c r="N37" s="106"/>
      <c r="O37" s="106"/>
      <c r="P37" s="106"/>
      <c r="Q37" s="106"/>
      <c r="R37" s="106"/>
      <c r="S37" s="106"/>
      <c r="T37" s="106"/>
      <c r="U37" s="106"/>
      <c r="V37" s="106"/>
      <c r="W37" s="106"/>
      <c r="X37" s="106"/>
      <c r="Y37" s="106"/>
      <c r="Z37" s="106">
        <f>K37</f>
        <v>0</v>
      </c>
    </row>
    <row r="38" spans="2:26" x14ac:dyDescent="0.3">
      <c r="B38" s="61" t="s">
        <v>243</v>
      </c>
      <c r="C38" s="106">
        <f>SUM(C33:C37)</f>
        <v>95.233910242139757</v>
      </c>
      <c r="D38" s="106"/>
      <c r="E38" s="122"/>
      <c r="F38" s="123"/>
      <c r="G38" s="123"/>
      <c r="H38" s="123"/>
      <c r="I38" s="123"/>
      <c r="J38" s="123"/>
      <c r="K38" s="106">
        <f>SUM(K33:K37)</f>
        <v>95.233910242139757</v>
      </c>
      <c r="L38" s="106"/>
      <c r="M38" s="106">
        <f t="shared" ref="M38:Z38" si="4">SUM(M33:M37)</f>
        <v>0</v>
      </c>
      <c r="N38" s="106">
        <f t="shared" si="4"/>
        <v>5.6882415790871557</v>
      </c>
      <c r="O38" s="106"/>
      <c r="P38" s="106">
        <f t="shared" si="4"/>
        <v>0</v>
      </c>
      <c r="Q38" s="106">
        <f t="shared" si="4"/>
        <v>30.975066283062521</v>
      </c>
      <c r="R38" s="106"/>
      <c r="S38" s="106">
        <f t="shared" si="4"/>
        <v>0</v>
      </c>
      <c r="T38" s="106">
        <f t="shared" si="4"/>
        <v>0</v>
      </c>
      <c r="U38" s="106"/>
      <c r="V38" s="106">
        <f t="shared" si="4"/>
        <v>0</v>
      </c>
      <c r="W38" s="106">
        <f t="shared" si="4"/>
        <v>58.570602379990085</v>
      </c>
      <c r="X38" s="106"/>
      <c r="Y38" s="106">
        <f t="shared" si="4"/>
        <v>0</v>
      </c>
      <c r="Z38" s="106">
        <f t="shared" si="4"/>
        <v>0</v>
      </c>
    </row>
    <row r="39" spans="2:26" x14ac:dyDescent="0.3">
      <c r="B39" s="100"/>
      <c r="C39" s="117"/>
      <c r="D39" s="117"/>
      <c r="E39" s="125"/>
      <c r="F39" s="126"/>
      <c r="G39" s="126"/>
      <c r="H39" s="126"/>
      <c r="I39" s="126"/>
      <c r="J39" s="126"/>
      <c r="K39" s="117"/>
    </row>
    <row r="40" spans="2:26" x14ac:dyDescent="0.3">
      <c r="B40" s="100" t="s">
        <v>158</v>
      </c>
      <c r="C40" s="117"/>
      <c r="D40" s="117"/>
      <c r="E40" s="125"/>
      <c r="F40" s="126"/>
      <c r="G40" s="126"/>
      <c r="H40" s="126"/>
      <c r="I40" s="126"/>
      <c r="J40" s="126"/>
      <c r="K40" s="117"/>
    </row>
    <row r="41" spans="2:26" x14ac:dyDescent="0.3">
      <c r="B41" s="69" t="s">
        <v>306</v>
      </c>
      <c r="C41" s="106">
        <f>SUM(C24,C30,C38)</f>
        <v>4882.5075841379648</v>
      </c>
      <c r="D41" s="106"/>
      <c r="E41" s="122"/>
      <c r="F41" s="123"/>
      <c r="G41" s="123"/>
      <c r="H41" s="123"/>
      <c r="I41" s="123"/>
      <c r="J41" s="123"/>
      <c r="K41" s="106">
        <f>SUM(K24,K30,K38)</f>
        <v>4882.5075841379648</v>
      </c>
      <c r="L41" s="106"/>
      <c r="M41" s="106">
        <f>SUM(M24,M30,M38)</f>
        <v>1177.6048316741117</v>
      </c>
      <c r="N41" s="106">
        <f t="shared" ref="N41:Z41" si="5">SUM(N24,N30,N38)</f>
        <v>5.6882415790871557</v>
      </c>
      <c r="O41" s="106"/>
      <c r="P41" s="106">
        <f t="shared" si="5"/>
        <v>354.57827718781363</v>
      </c>
      <c r="Q41" s="106">
        <f t="shared" si="5"/>
        <v>30.975066283062521</v>
      </c>
      <c r="R41" s="106"/>
      <c r="S41" s="106">
        <f t="shared" si="5"/>
        <v>0</v>
      </c>
      <c r="T41" s="106">
        <f t="shared" si="5"/>
        <v>0</v>
      </c>
      <c r="U41" s="106"/>
      <c r="V41" s="106">
        <f t="shared" si="5"/>
        <v>3255.0905650338991</v>
      </c>
      <c r="W41" s="106">
        <f t="shared" si="5"/>
        <v>58.570602379990085</v>
      </c>
      <c r="X41" s="106"/>
      <c r="Y41" s="106">
        <f t="shared" si="5"/>
        <v>0</v>
      </c>
      <c r="Z41" s="106">
        <f t="shared" si="5"/>
        <v>0</v>
      </c>
    </row>
    <row r="42" spans="2:26" x14ac:dyDescent="0.3">
      <c r="B42" s="69" t="s">
        <v>307</v>
      </c>
      <c r="C42" s="106">
        <f>'متطلبات الإيرادات'!$G$31*'إعادة تخصيص الجهد'!C41</f>
        <v>507.78078875034834</v>
      </c>
      <c r="D42" s="106"/>
      <c r="E42" s="122"/>
      <c r="F42" s="123"/>
      <c r="G42" s="123"/>
      <c r="H42" s="123"/>
      <c r="I42" s="123"/>
      <c r="J42" s="123"/>
      <c r="K42" s="106">
        <f>'متطلبات الإيرادات'!$G$31*'إعادة تخصيص الجهد'!K41</f>
        <v>507.78078875034834</v>
      </c>
      <c r="L42" s="106"/>
      <c r="M42" s="106">
        <f>'متطلبات الإيرادات'!$G$31*'إعادة تخصيص الجهد'!M41</f>
        <v>122.47090249410761</v>
      </c>
      <c r="N42" s="106">
        <f>'متطلبات الإيرادات'!$G$31*'إعادة تخصيص الجهد'!N41</f>
        <v>0.59157712422506414</v>
      </c>
      <c r="O42" s="106"/>
      <c r="P42" s="106">
        <f>'متطلبات الإيرادات'!$G$31*'إعادة تخصيص الجهد'!P41</f>
        <v>36.876140827532616</v>
      </c>
      <c r="Q42" s="106">
        <f>'متطلبات الإيرادات'!$G$31*'إعادة تخصيص الجهد'!Q41</f>
        <v>3.2214068934385018</v>
      </c>
      <c r="R42" s="106"/>
      <c r="S42" s="106">
        <f>'متطلبات الإيرادات'!$G$31*'إعادة تخصيص الجهد'!S41</f>
        <v>0</v>
      </c>
      <c r="T42" s="106">
        <f>'متطلبات الإيرادات'!$G$31*'إعادة تخصيص الجهد'!T41</f>
        <v>0</v>
      </c>
      <c r="U42" s="106"/>
      <c r="V42" s="106">
        <f>'متطلبات الإيرادات'!$G$31*'إعادة تخصيص الجهد'!V41</f>
        <v>338.52941876352548</v>
      </c>
      <c r="W42" s="106">
        <f>'متطلبات الإيرادات'!$G$31*'إعادة تخصيص الجهد'!W41</f>
        <v>6.0913426475189683</v>
      </c>
      <c r="X42" s="106"/>
      <c r="Y42" s="106">
        <f>'متطلبات الإيرادات'!$G$31*'إعادة تخصيص الجهد'!Y41</f>
        <v>0</v>
      </c>
      <c r="Z42" s="106">
        <f>'متطلبات الإيرادات'!$G$31*'إعادة تخصيص الجهد'!Z41</f>
        <v>0</v>
      </c>
    </row>
    <row r="46" spans="2:26" x14ac:dyDescent="0.3">
      <c r="C46" s="149" t="s">
        <v>322</v>
      </c>
      <c r="D46" s="149"/>
      <c r="E46" s="149"/>
      <c r="F46" s="149"/>
      <c r="G46" s="149"/>
      <c r="H46" s="149"/>
      <c r="I46" s="149"/>
      <c r="J46" s="149"/>
      <c r="K46" s="149"/>
      <c r="L46" s="143" t="s">
        <v>304</v>
      </c>
      <c r="M46" s="143"/>
      <c r="N46" s="143"/>
      <c r="O46" s="143"/>
      <c r="P46" s="143"/>
      <c r="Q46" s="143"/>
      <c r="R46" s="143"/>
      <c r="S46" s="143"/>
      <c r="T46" s="143"/>
      <c r="U46" s="143"/>
      <c r="V46" s="143"/>
      <c r="W46" s="143"/>
      <c r="X46" s="143"/>
      <c r="Y46" s="143"/>
      <c r="Z46" s="143"/>
    </row>
    <row r="47" spans="2:26" x14ac:dyDescent="0.3">
      <c r="C47" s="149"/>
      <c r="D47" s="149"/>
      <c r="E47" s="149"/>
      <c r="F47" s="149"/>
      <c r="G47" s="149"/>
      <c r="H47" s="149"/>
      <c r="I47" s="149"/>
      <c r="J47" s="149"/>
      <c r="K47" s="149"/>
      <c r="L47" s="152" t="s">
        <v>310</v>
      </c>
      <c r="M47" s="152"/>
      <c r="N47" s="152"/>
      <c r="O47" s="152" t="s">
        <v>298</v>
      </c>
      <c r="P47" s="152"/>
      <c r="Q47" s="152"/>
      <c r="R47" s="152" t="s">
        <v>299</v>
      </c>
      <c r="S47" s="152"/>
      <c r="T47" s="152"/>
      <c r="U47" s="152" t="s">
        <v>301</v>
      </c>
      <c r="V47" s="152"/>
      <c r="W47" s="152"/>
      <c r="X47" s="152" t="s">
        <v>300</v>
      </c>
      <c r="Y47" s="152"/>
      <c r="Z47" s="152"/>
    </row>
    <row r="48" spans="2:26" s="120" customFormat="1" ht="65" x14ac:dyDescent="0.35">
      <c r="C48" s="120" t="s">
        <v>230</v>
      </c>
      <c r="D48" s="120" t="s">
        <v>281</v>
      </c>
      <c r="E48" s="120" t="s">
        <v>289</v>
      </c>
      <c r="F48" s="120" t="s">
        <v>290</v>
      </c>
      <c r="G48" s="120" t="s">
        <v>291</v>
      </c>
      <c r="H48" s="120" t="s">
        <v>292</v>
      </c>
      <c r="I48" s="120" t="s">
        <v>293</v>
      </c>
      <c r="J48" s="120" t="s">
        <v>294</v>
      </c>
      <c r="K48" s="120" t="s">
        <v>295</v>
      </c>
      <c r="L48" s="120" t="s">
        <v>321</v>
      </c>
      <c r="M48" s="120" t="s">
        <v>296</v>
      </c>
      <c r="N48" s="120" t="s">
        <v>297</v>
      </c>
      <c r="O48" s="120" t="s">
        <v>321</v>
      </c>
      <c r="P48" s="120" t="s">
        <v>296</v>
      </c>
      <c r="Q48" s="120" t="s">
        <v>297</v>
      </c>
      <c r="R48" s="120" t="s">
        <v>321</v>
      </c>
      <c r="S48" s="120" t="s">
        <v>296</v>
      </c>
      <c r="T48" s="120" t="s">
        <v>297</v>
      </c>
      <c r="U48" s="120" t="s">
        <v>321</v>
      </c>
      <c r="V48" s="120" t="s">
        <v>296</v>
      </c>
      <c r="W48" s="120" t="s">
        <v>297</v>
      </c>
      <c r="X48" s="120" t="s">
        <v>321</v>
      </c>
      <c r="Y48" s="120" t="s">
        <v>296</v>
      </c>
      <c r="Z48" s="120" t="s">
        <v>297</v>
      </c>
    </row>
    <row r="49" spans="2:26" x14ac:dyDescent="0.3">
      <c r="B49" s="100"/>
    </row>
    <row r="50" spans="2:26" x14ac:dyDescent="0.3">
      <c r="B50" s="100" t="s">
        <v>309</v>
      </c>
    </row>
    <row r="51" spans="2:26" x14ac:dyDescent="0.3">
      <c r="B51" s="69" t="s">
        <v>310</v>
      </c>
      <c r="C51" s="106"/>
      <c r="K51" s="106">
        <f>$C$56*SUMIF(العميل!$G$12:$G$42,"HV",العميل!$T$12:$T$42)/العميل!$T$43</f>
        <v>25.204746263124417</v>
      </c>
      <c r="L51" s="106">
        <f>K51</f>
        <v>25.204746263124417</v>
      </c>
      <c r="M51" s="106"/>
      <c r="N51" s="106"/>
      <c r="O51" s="106"/>
      <c r="P51" s="106"/>
      <c r="Q51" s="106"/>
      <c r="R51" s="106"/>
      <c r="S51" s="106"/>
      <c r="T51" s="106"/>
      <c r="U51" s="106"/>
      <c r="V51" s="106"/>
      <c r="W51" s="106"/>
      <c r="X51" s="106"/>
      <c r="Y51" s="106"/>
      <c r="Z51" s="106"/>
    </row>
    <row r="52" spans="2:26" x14ac:dyDescent="0.3">
      <c r="B52" s="69" t="s">
        <v>298</v>
      </c>
      <c r="C52" s="106"/>
      <c r="K52" s="106">
        <f>$C$56*SUMIFS(العميل!$T$12:$T$42,العميل!$G$12:$G$42,"MV",العميل!$F$12:$F$42,"Urban")/العميل!$T$43</f>
        <v>12.761235996636112</v>
      </c>
      <c r="L52" s="106"/>
      <c r="M52" s="106"/>
      <c r="N52" s="106"/>
      <c r="O52" s="106">
        <f>K52</f>
        <v>12.761235996636112</v>
      </c>
      <c r="P52" s="106"/>
      <c r="Q52" s="106"/>
      <c r="R52" s="106"/>
      <c r="S52" s="106"/>
      <c r="T52" s="106"/>
      <c r="U52" s="106"/>
      <c r="V52" s="106"/>
      <c r="W52" s="106"/>
      <c r="X52" s="106"/>
      <c r="Y52" s="106"/>
      <c r="Z52" s="106"/>
    </row>
    <row r="53" spans="2:26" x14ac:dyDescent="0.3">
      <c r="B53" s="69" t="s">
        <v>299</v>
      </c>
      <c r="C53" s="106"/>
      <c r="K53" s="106">
        <f>$C$56*SUMIFS(العميل!$T$12:$T$42,العميل!$G$12:$G$42,"MV",العميل!$F$12:$F$42,"Rural")/العميل!$T$43</f>
        <v>0</v>
      </c>
      <c r="L53" s="106"/>
      <c r="M53" s="106"/>
      <c r="N53" s="106"/>
      <c r="O53" s="106"/>
      <c r="P53" s="106"/>
      <c r="Q53" s="106"/>
      <c r="R53" s="106">
        <f>K53</f>
        <v>0</v>
      </c>
      <c r="S53" s="106"/>
      <c r="T53" s="106"/>
      <c r="U53" s="106"/>
      <c r="V53" s="106"/>
      <c r="W53" s="106"/>
      <c r="X53" s="106"/>
      <c r="Y53" s="106"/>
      <c r="Z53" s="106"/>
    </row>
    <row r="54" spans="2:26" x14ac:dyDescent="0.3">
      <c r="B54" s="69" t="s">
        <v>301</v>
      </c>
      <c r="C54" s="106"/>
      <c r="K54" s="106">
        <f>$C$56*SUMIFS(العميل!$T$12:$T$42,العميل!$G$12:$G$42,"LV",العميل!$F$12:$F$42,"Urban")/العميل!$T$43</f>
        <v>31.097017740239469</v>
      </c>
      <c r="L54" s="106"/>
      <c r="M54" s="106"/>
      <c r="N54" s="106"/>
      <c r="O54" s="106"/>
      <c r="P54" s="106"/>
      <c r="Q54" s="106"/>
      <c r="R54" s="106"/>
      <c r="S54" s="106"/>
      <c r="T54" s="106"/>
      <c r="U54" s="106">
        <f>K54</f>
        <v>31.097017740239469</v>
      </c>
      <c r="V54" s="106"/>
      <c r="W54" s="106"/>
      <c r="X54" s="106"/>
      <c r="Y54" s="106"/>
      <c r="Z54" s="106"/>
    </row>
    <row r="55" spans="2:26" x14ac:dyDescent="0.3">
      <c r="B55" s="69" t="s">
        <v>300</v>
      </c>
      <c r="C55" s="106"/>
      <c r="K55" s="106">
        <f>$C$56*SUMIFS(العميل!$T$12:$T$42,العميل!$G$12:$G$42,"LV",العميل!$F$12:$F$42,"Rural")/العميل!$T$43</f>
        <v>0</v>
      </c>
      <c r="L55" s="106"/>
      <c r="M55" s="106"/>
      <c r="N55" s="106"/>
      <c r="O55" s="106"/>
      <c r="P55" s="106"/>
      <c r="Q55" s="106"/>
      <c r="R55" s="106"/>
      <c r="S55" s="106"/>
      <c r="T55" s="106"/>
      <c r="U55" s="106"/>
      <c r="V55" s="106"/>
      <c r="W55" s="106"/>
      <c r="X55" s="106">
        <f>K55</f>
        <v>0</v>
      </c>
      <c r="Y55" s="106"/>
      <c r="Z55" s="106"/>
    </row>
    <row r="56" spans="2:26" x14ac:dyDescent="0.3">
      <c r="B56" s="61" t="s">
        <v>243</v>
      </c>
      <c r="C56" s="106">
        <f>النفقات!O12</f>
        <v>69.063000000000002</v>
      </c>
      <c r="K56" s="106">
        <f>SUM(K51:K55)</f>
        <v>69.063000000000002</v>
      </c>
      <c r="L56" s="106">
        <f t="shared" ref="L56:M56" si="6">SUM(L51:L55)</f>
        <v>25.204746263124417</v>
      </c>
      <c r="M56" s="106">
        <f t="shared" si="6"/>
        <v>0</v>
      </c>
      <c r="N56" s="106">
        <f t="shared" ref="N56" si="7">SUM(N51:N55)</f>
        <v>0</v>
      </c>
      <c r="O56" s="106">
        <f t="shared" ref="O56" si="8">SUM(O51:O55)</f>
        <v>12.761235996636112</v>
      </c>
      <c r="P56" s="106">
        <f t="shared" ref="P56" si="9">SUM(P51:P55)</f>
        <v>0</v>
      </c>
      <c r="Q56" s="106">
        <f t="shared" ref="Q56" si="10">SUM(Q51:Q55)</f>
        <v>0</v>
      </c>
      <c r="R56" s="106">
        <f t="shared" ref="R56" si="11">SUM(R51:R55)</f>
        <v>0</v>
      </c>
      <c r="S56" s="106">
        <f t="shared" ref="S56" si="12">SUM(S51:S55)</f>
        <v>0</v>
      </c>
      <c r="T56" s="106">
        <f t="shared" ref="T56" si="13">SUM(T51:T55)</f>
        <v>0</v>
      </c>
      <c r="U56" s="106">
        <f t="shared" ref="U56" si="14">SUM(U51:U55)</f>
        <v>31.097017740239469</v>
      </c>
      <c r="V56" s="106">
        <f t="shared" ref="V56" si="15">SUM(V51:V55)</f>
        <v>0</v>
      </c>
      <c r="W56" s="106">
        <f t="shared" ref="W56" si="16">SUM(W51:W55)</f>
        <v>0</v>
      </c>
      <c r="X56" s="106">
        <f t="shared" ref="X56" si="17">SUM(X51:X55)</f>
        <v>0</v>
      </c>
      <c r="Y56" s="106">
        <f t="shared" ref="Y56" si="18">SUM(Y51:Y55)</f>
        <v>0</v>
      </c>
      <c r="Z56" s="106">
        <f t="shared" ref="Z56" si="19">SUM(Z51:Z55)</f>
        <v>0</v>
      </c>
    </row>
    <row r="57" spans="2:26" x14ac:dyDescent="0.3">
      <c r="B57" s="100"/>
    </row>
    <row r="58" spans="2:26" x14ac:dyDescent="0.3">
      <c r="B58" s="100" t="s">
        <v>308</v>
      </c>
    </row>
    <row r="59" spans="2:26" x14ac:dyDescent="0.3">
      <c r="B59" s="69" t="s">
        <v>310</v>
      </c>
      <c r="C59" s="106"/>
      <c r="K59" s="106">
        <f>$C$64*SUMIF(العميل!$G$12:$G$42,"HV",العميل!$V$12:$V$42)/العميل!$V$43</f>
        <v>70.842478018265226</v>
      </c>
      <c r="L59" s="106"/>
      <c r="M59" s="106">
        <f>K59</f>
        <v>70.842478018265226</v>
      </c>
      <c r="N59" s="106"/>
      <c r="O59" s="106"/>
      <c r="P59" s="106"/>
      <c r="Q59" s="106"/>
      <c r="R59" s="106"/>
      <c r="S59" s="106"/>
      <c r="T59" s="106"/>
      <c r="U59" s="106"/>
      <c r="V59" s="106"/>
      <c r="W59" s="106"/>
      <c r="X59" s="106"/>
      <c r="Y59" s="106"/>
      <c r="Z59" s="106"/>
    </row>
    <row r="60" spans="2:26" x14ac:dyDescent="0.3">
      <c r="B60" s="69" t="s">
        <v>298</v>
      </c>
      <c r="C60" s="106"/>
      <c r="K60" s="106">
        <f>$C$64*SUMIFS(العميل!$V$12:$V$42,العميل!$G$12:$G$42,"MV",العميل!$F$12:$F$42,"Urban")/العميل!$V$43</f>
        <v>20.027709424853597</v>
      </c>
      <c r="L60" s="106"/>
      <c r="M60" s="106"/>
      <c r="N60" s="106"/>
      <c r="O60" s="106"/>
      <c r="P60" s="106">
        <f>K60</f>
        <v>20.027709424853597</v>
      </c>
      <c r="Q60" s="106"/>
      <c r="R60" s="106"/>
      <c r="S60" s="106"/>
      <c r="T60" s="106"/>
      <c r="U60" s="106"/>
      <c r="V60" s="106"/>
      <c r="W60" s="106"/>
      <c r="X60" s="106"/>
      <c r="Y60" s="106"/>
      <c r="Z60" s="106"/>
    </row>
    <row r="61" spans="2:26" x14ac:dyDescent="0.3">
      <c r="B61" s="69" t="s">
        <v>299</v>
      </c>
      <c r="C61" s="106"/>
      <c r="K61" s="106">
        <f>$C$64*SUMIFS(العميل!$V$12:$V$42,العميل!$G$12:$G$42,"MV",العميل!$F$12:$F$42,"Rural")/العميل!$V$43</f>
        <v>0</v>
      </c>
      <c r="L61" s="106"/>
      <c r="M61" s="106"/>
      <c r="N61" s="106"/>
      <c r="O61" s="106"/>
      <c r="P61" s="106"/>
      <c r="Q61" s="106"/>
      <c r="R61" s="106"/>
      <c r="S61" s="106">
        <f>K61</f>
        <v>0</v>
      </c>
      <c r="T61" s="106"/>
      <c r="U61" s="106"/>
      <c r="V61" s="106"/>
      <c r="W61" s="106"/>
      <c r="X61" s="106"/>
      <c r="Y61" s="106"/>
      <c r="Z61" s="106"/>
    </row>
    <row r="62" spans="2:26" x14ac:dyDescent="0.3">
      <c r="B62" s="69" t="s">
        <v>301</v>
      </c>
      <c r="C62" s="106"/>
      <c r="K62" s="106">
        <f>$C$64*SUMIFS(العميل!$V$12:$V$42,العميل!$G$12:$G$42,"LV",العميل!$F$12:$F$42,"Urban")/العميل!$V$43</f>
        <v>148.0681425942069</v>
      </c>
      <c r="L62" s="106"/>
      <c r="M62" s="106"/>
      <c r="N62" s="106"/>
      <c r="O62" s="106"/>
      <c r="P62" s="106"/>
      <c r="Q62" s="106"/>
      <c r="R62" s="106"/>
      <c r="S62" s="106"/>
      <c r="T62" s="106"/>
      <c r="U62" s="106"/>
      <c r="V62" s="106">
        <f>K62</f>
        <v>148.0681425942069</v>
      </c>
      <c r="W62" s="106"/>
      <c r="X62" s="106"/>
      <c r="Y62" s="106"/>
      <c r="Z62" s="106"/>
    </row>
    <row r="63" spans="2:26" x14ac:dyDescent="0.3">
      <c r="B63" s="69" t="s">
        <v>300</v>
      </c>
      <c r="C63" s="106"/>
      <c r="K63" s="106">
        <f>$C$64*SUMIFS(العميل!$V$12:$V$42,العميل!$G$12:$G$42,"LV",العميل!$F$12:$F$42,"Rural")/العميل!$V$43</f>
        <v>0</v>
      </c>
      <c r="L63" s="106"/>
      <c r="M63" s="106"/>
      <c r="N63" s="106"/>
      <c r="O63" s="106"/>
      <c r="P63" s="106"/>
      <c r="Q63" s="106"/>
      <c r="R63" s="106"/>
      <c r="S63" s="106"/>
      <c r="T63" s="106"/>
      <c r="U63" s="106"/>
      <c r="V63" s="106"/>
      <c r="W63" s="106"/>
      <c r="X63" s="106"/>
      <c r="Y63" s="106">
        <f>K63</f>
        <v>0</v>
      </c>
      <c r="Z63" s="106"/>
    </row>
    <row r="64" spans="2:26" x14ac:dyDescent="0.3">
      <c r="B64" s="61" t="s">
        <v>19</v>
      </c>
      <c r="C64" s="106">
        <f>النفقات!O13</f>
        <v>238.93833003732573</v>
      </c>
      <c r="K64" s="106">
        <f>SUM(K59:K63)</f>
        <v>238.93833003732573</v>
      </c>
      <c r="L64" s="106">
        <f t="shared" ref="L64" si="20">SUM(L59:L63)</f>
        <v>0</v>
      </c>
      <c r="M64" s="106">
        <f t="shared" ref="M64" si="21">SUM(M59:M63)</f>
        <v>70.842478018265226</v>
      </c>
      <c r="N64" s="106">
        <f t="shared" ref="N64" si="22">SUM(N59:N63)</f>
        <v>0</v>
      </c>
      <c r="O64" s="106">
        <f t="shared" ref="O64" si="23">SUM(O59:O63)</f>
        <v>0</v>
      </c>
      <c r="P64" s="106">
        <f t="shared" ref="P64" si="24">SUM(P59:P63)</f>
        <v>20.027709424853597</v>
      </c>
      <c r="Q64" s="106">
        <f t="shared" ref="Q64" si="25">SUM(Q59:Q63)</f>
        <v>0</v>
      </c>
      <c r="R64" s="106">
        <f t="shared" ref="R64" si="26">SUM(R59:R63)</f>
        <v>0</v>
      </c>
      <c r="S64" s="106">
        <f t="shared" ref="S64" si="27">SUM(S59:S63)</f>
        <v>0</v>
      </c>
      <c r="T64" s="106">
        <f t="shared" ref="T64" si="28">SUM(T59:T63)</f>
        <v>0</v>
      </c>
      <c r="U64" s="106">
        <f t="shared" ref="U64" si="29">SUM(U59:U63)</f>
        <v>0</v>
      </c>
      <c r="V64" s="106">
        <f t="shared" ref="V64" si="30">SUM(V59:V63)</f>
        <v>148.0681425942069</v>
      </c>
      <c r="W64" s="106">
        <f t="shared" ref="W64" si="31">SUM(W59:W63)</f>
        <v>0</v>
      </c>
      <c r="X64" s="106">
        <f t="shared" ref="X64" si="32">SUM(X59:X63)</f>
        <v>0</v>
      </c>
      <c r="Y64" s="106">
        <f t="shared" ref="Y64" si="33">SUM(Y59:Y63)</f>
        <v>0</v>
      </c>
      <c r="Z64" s="106">
        <f t="shared" ref="Z64" si="34">SUM(Z59:Z63)</f>
        <v>0</v>
      </c>
    </row>
    <row r="65" spans="2:26" x14ac:dyDescent="0.3">
      <c r="B65" s="100"/>
    </row>
    <row r="66" spans="2:26" x14ac:dyDescent="0.3">
      <c r="B66" s="100" t="s">
        <v>319</v>
      </c>
    </row>
    <row r="67" spans="2:26" x14ac:dyDescent="0.3">
      <c r="B67" s="69" t="s">
        <v>310</v>
      </c>
      <c r="C67" s="106">
        <f>النفقات!O16</f>
        <v>62.16699955585873</v>
      </c>
      <c r="K67" s="106">
        <f>C67</f>
        <v>62.16699955585873</v>
      </c>
      <c r="L67" s="106">
        <f>K67</f>
        <v>62.16699955585873</v>
      </c>
      <c r="M67" s="106"/>
      <c r="N67" s="106"/>
      <c r="O67" s="106"/>
      <c r="P67" s="106"/>
      <c r="Q67" s="106"/>
      <c r="R67" s="106"/>
      <c r="S67" s="106"/>
      <c r="T67" s="106"/>
      <c r="U67" s="106"/>
      <c r="V67" s="106"/>
      <c r="W67" s="106"/>
      <c r="X67" s="106"/>
      <c r="Y67" s="106"/>
      <c r="Z67" s="106"/>
    </row>
    <row r="68" spans="2:26" x14ac:dyDescent="0.3">
      <c r="B68" s="69" t="s">
        <v>298</v>
      </c>
      <c r="C68" s="106">
        <f>النفقات!O22</f>
        <v>31.475331838422697</v>
      </c>
      <c r="K68" s="106">
        <f t="shared" ref="K68:K71" si="35">C68</f>
        <v>31.475331838422697</v>
      </c>
      <c r="L68" s="106"/>
      <c r="M68" s="106"/>
      <c r="N68" s="106"/>
      <c r="O68" s="106">
        <f>K68</f>
        <v>31.475331838422697</v>
      </c>
      <c r="P68" s="106"/>
      <c r="Q68" s="106"/>
      <c r="R68" s="106"/>
      <c r="S68" s="106"/>
      <c r="T68" s="106"/>
      <c r="U68" s="106"/>
      <c r="V68" s="106"/>
      <c r="W68" s="106"/>
      <c r="X68" s="106"/>
      <c r="Y68" s="106"/>
      <c r="Z68" s="106"/>
    </row>
    <row r="69" spans="2:26" x14ac:dyDescent="0.3">
      <c r="B69" s="69" t="s">
        <v>299</v>
      </c>
      <c r="C69" s="106">
        <f>النفقات!O28</f>
        <v>0</v>
      </c>
      <c r="K69" s="106">
        <f t="shared" si="35"/>
        <v>0</v>
      </c>
      <c r="L69" s="106"/>
      <c r="M69" s="106"/>
      <c r="N69" s="106"/>
      <c r="O69" s="106"/>
      <c r="P69" s="106"/>
      <c r="Q69" s="106"/>
      <c r="R69" s="106">
        <f>K69</f>
        <v>0</v>
      </c>
      <c r="S69" s="106"/>
      <c r="T69" s="106"/>
      <c r="U69" s="106"/>
      <c r="V69" s="106"/>
      <c r="W69" s="106"/>
      <c r="X69" s="106"/>
      <c r="Y69" s="106"/>
      <c r="Z69" s="106"/>
    </row>
    <row r="70" spans="2:26" x14ac:dyDescent="0.3">
      <c r="B70" s="69" t="s">
        <v>301</v>
      </c>
      <c r="C70" s="106">
        <f>النفقات!O34</f>
        <v>76.700168605718574</v>
      </c>
      <c r="K70" s="106">
        <f t="shared" si="35"/>
        <v>76.700168605718574</v>
      </c>
      <c r="L70" s="106"/>
      <c r="M70" s="106"/>
      <c r="N70" s="106"/>
      <c r="O70" s="106"/>
      <c r="P70" s="106"/>
      <c r="Q70" s="106"/>
      <c r="R70" s="106"/>
      <c r="S70" s="106"/>
      <c r="T70" s="106"/>
      <c r="U70" s="106">
        <f>K70</f>
        <v>76.700168605718574</v>
      </c>
      <c r="V70" s="106"/>
      <c r="W70" s="106"/>
      <c r="X70" s="106"/>
      <c r="Y70" s="106"/>
      <c r="Z70" s="106"/>
    </row>
    <row r="71" spans="2:26" x14ac:dyDescent="0.3">
      <c r="B71" s="69" t="s">
        <v>320</v>
      </c>
      <c r="C71" s="106">
        <f>النفقات!O40</f>
        <v>0</v>
      </c>
      <c r="K71" s="106">
        <f t="shared" si="35"/>
        <v>0</v>
      </c>
      <c r="L71" s="106"/>
      <c r="M71" s="106"/>
      <c r="N71" s="106"/>
      <c r="O71" s="106"/>
      <c r="P71" s="106"/>
      <c r="Q71" s="106"/>
      <c r="R71" s="106"/>
      <c r="S71" s="106"/>
      <c r="T71" s="106"/>
      <c r="U71" s="106"/>
      <c r="V71" s="106"/>
      <c r="W71" s="106"/>
      <c r="X71" s="106">
        <f>K71</f>
        <v>0</v>
      </c>
      <c r="Y71" s="106"/>
      <c r="Z71" s="106"/>
    </row>
    <row r="72" spans="2:26" x14ac:dyDescent="0.3">
      <c r="B72" s="61" t="s">
        <v>243</v>
      </c>
      <c r="C72" s="106">
        <f>SUM(C67:C71)</f>
        <v>170.3425</v>
      </c>
      <c r="K72" s="106">
        <f>SUM(K67:K71)</f>
        <v>170.3425</v>
      </c>
      <c r="L72" s="106">
        <f t="shared" ref="L72" si="36">SUM(L67:L71)</f>
        <v>62.16699955585873</v>
      </c>
      <c r="M72" s="106">
        <f t="shared" ref="M72" si="37">SUM(M67:M71)</f>
        <v>0</v>
      </c>
      <c r="N72" s="106">
        <f t="shared" ref="N72" si="38">SUM(N67:N71)</f>
        <v>0</v>
      </c>
      <c r="O72" s="106">
        <f t="shared" ref="O72" si="39">SUM(O67:O71)</f>
        <v>31.475331838422697</v>
      </c>
      <c r="P72" s="106">
        <f t="shared" ref="P72" si="40">SUM(P67:P71)</f>
        <v>0</v>
      </c>
      <c r="Q72" s="106">
        <f t="shared" ref="Q72" si="41">SUM(Q67:Q71)</f>
        <v>0</v>
      </c>
      <c r="R72" s="106">
        <f t="shared" ref="R72" si="42">SUM(R67:R71)</f>
        <v>0</v>
      </c>
      <c r="S72" s="106">
        <f t="shared" ref="S72" si="43">SUM(S67:S71)</f>
        <v>0</v>
      </c>
      <c r="T72" s="106">
        <f t="shared" ref="T72" si="44">SUM(T67:T71)</f>
        <v>0</v>
      </c>
      <c r="U72" s="106">
        <f t="shared" ref="U72" si="45">SUM(U67:U71)</f>
        <v>76.700168605718574</v>
      </c>
      <c r="V72" s="106">
        <f t="shared" ref="V72" si="46">SUM(V67:V71)</f>
        <v>0</v>
      </c>
      <c r="W72" s="106">
        <f t="shared" ref="W72" si="47">SUM(W67:W71)</f>
        <v>0</v>
      </c>
      <c r="X72" s="106">
        <f t="shared" ref="X72" si="48">SUM(X67:X71)</f>
        <v>0</v>
      </c>
      <c r="Y72" s="106">
        <f t="shared" ref="Y72" si="49">SUM(Y67:Y71)</f>
        <v>0</v>
      </c>
      <c r="Z72" s="106">
        <f t="shared" ref="Z72" si="50">SUM(Z67:Z71)</f>
        <v>0</v>
      </c>
    </row>
    <row r="73" spans="2:26" x14ac:dyDescent="0.3">
      <c r="B73" s="100"/>
      <c r="L73" s="106"/>
      <c r="M73" s="106"/>
      <c r="N73" s="106"/>
      <c r="O73" s="106"/>
      <c r="P73" s="106"/>
      <c r="Q73" s="106"/>
      <c r="R73" s="106"/>
      <c r="S73" s="106"/>
      <c r="T73" s="106"/>
      <c r="U73" s="106"/>
      <c r="V73" s="106"/>
      <c r="W73" s="106"/>
      <c r="X73" s="106"/>
      <c r="Y73" s="106"/>
      <c r="Z73" s="106"/>
    </row>
    <row r="74" spans="2:26" x14ac:dyDescent="0.3">
      <c r="B74" s="100" t="s">
        <v>311</v>
      </c>
      <c r="L74" s="106"/>
      <c r="M74" s="106"/>
      <c r="N74" s="106"/>
      <c r="O74" s="106"/>
      <c r="P74" s="106"/>
      <c r="Q74" s="106"/>
      <c r="R74" s="106"/>
      <c r="S74" s="106"/>
      <c r="T74" s="106"/>
      <c r="U74" s="106"/>
      <c r="V74" s="106"/>
      <c r="W74" s="106"/>
      <c r="X74" s="106"/>
      <c r="Y74" s="106"/>
      <c r="Z74" s="106"/>
    </row>
    <row r="75" spans="2:26" x14ac:dyDescent="0.3">
      <c r="B75" s="69" t="s">
        <v>310</v>
      </c>
      <c r="C75" s="106">
        <f>النفقات!O17</f>
        <v>296.63059593243662</v>
      </c>
      <c r="D75" s="106">
        <f>D27</f>
        <v>149.31698400583628</v>
      </c>
      <c r="E75" s="122">
        <f>D75/SUM($D$27:$D$29)</f>
        <v>0.2964885458402533</v>
      </c>
      <c r="F75" s="123">
        <f>$E75*$C75</f>
        <v>87.947574039735883</v>
      </c>
      <c r="G75" s="119"/>
      <c r="H75" s="123"/>
      <c r="I75" s="123"/>
      <c r="J75" s="123"/>
      <c r="K75" s="124">
        <f>F75</f>
        <v>87.947574039735883</v>
      </c>
      <c r="L75" s="106"/>
      <c r="M75" s="106">
        <f>K75</f>
        <v>87.947574039735883</v>
      </c>
      <c r="N75" s="106"/>
      <c r="O75" s="106"/>
      <c r="P75" s="106"/>
      <c r="Q75" s="106"/>
      <c r="R75" s="106"/>
      <c r="S75" s="106"/>
      <c r="T75" s="106"/>
      <c r="U75" s="106"/>
      <c r="V75" s="106"/>
      <c r="W75" s="106"/>
      <c r="X75" s="106"/>
      <c r="Y75" s="106"/>
      <c r="Z75" s="106"/>
    </row>
    <row r="76" spans="2:26" x14ac:dyDescent="0.3">
      <c r="B76" s="69" t="s">
        <v>318</v>
      </c>
      <c r="C76" s="106">
        <f>النفقات!O23+النفقات!O29</f>
        <v>113.59090732804285</v>
      </c>
      <c r="D76" s="106">
        <f>D28</f>
        <v>42.213051427892879</v>
      </c>
      <c r="E76" s="122">
        <f t="shared" ref="E76:E77" si="51">D76/SUM($D$27:$D$29)</f>
        <v>8.3819575627422219E-2</v>
      </c>
      <c r="F76" s="123"/>
      <c r="G76" s="123">
        <f>$C75-F75</f>
        <v>208.68302189270074</v>
      </c>
      <c r="H76" s="123">
        <f>(G76+C76)*E76</f>
        <v>27.012863983064634</v>
      </c>
      <c r="I76" s="119"/>
      <c r="J76" s="123"/>
      <c r="K76" s="124">
        <f>H76</f>
        <v>27.012863983064634</v>
      </c>
      <c r="L76" s="106"/>
      <c r="M76" s="106"/>
      <c r="N76" s="106"/>
      <c r="O76" s="106"/>
      <c r="P76" s="106">
        <f>$K$76*SUMIFS(العميل!$V$12:$V$42,العميل!$G$12:$G$42,"MV",العميل!$F$12:$F$42,"Urban")/SUMIFS(العميل!$V$12:$V$42,العميل!$G$12:$G$42,"MV")</f>
        <v>27.012863983064634</v>
      </c>
      <c r="Q76" s="106"/>
      <c r="R76" s="106"/>
      <c r="S76" s="106">
        <f>$K$76*SUMIFS(العميل!$V$12:$V$42,العميل!$G$12:$G$42,"MV",العميل!$F$12:$F$42,"Rural")/SUMIFS(العميل!$V$12:$V$42,العميل!$G$12:$G$42,"MV")</f>
        <v>0</v>
      </c>
      <c r="T76" s="106"/>
      <c r="U76" s="106"/>
      <c r="V76" s="106"/>
      <c r="W76" s="106"/>
      <c r="X76" s="106"/>
      <c r="Y76" s="106"/>
      <c r="Z76" s="106"/>
    </row>
    <row r="77" spans="2:26" x14ac:dyDescent="0.3">
      <c r="B77" s="69" t="s">
        <v>312</v>
      </c>
      <c r="C77" s="106">
        <f>النفقات!O35+النفقات!O41</f>
        <v>390.1686415438769</v>
      </c>
      <c r="D77" s="106">
        <f>D29</f>
        <v>312.08801693544262</v>
      </c>
      <c r="E77" s="122">
        <f t="shared" si="51"/>
        <v>0.61969187853232444</v>
      </c>
      <c r="F77" s="123"/>
      <c r="G77" s="123"/>
      <c r="H77" s="123"/>
      <c r="I77" s="123">
        <f>C76+G76-H76</f>
        <v>295.26106523767896</v>
      </c>
      <c r="J77" s="123">
        <f>I77+C77</f>
        <v>685.42970678155586</v>
      </c>
      <c r="K77" s="124">
        <f>J77</f>
        <v>685.42970678155586</v>
      </c>
      <c r="L77" s="106"/>
      <c r="M77" s="106"/>
      <c r="N77" s="106"/>
      <c r="O77" s="106"/>
      <c r="P77" s="106"/>
      <c r="Q77" s="106"/>
      <c r="R77" s="106"/>
      <c r="S77" s="106"/>
      <c r="T77" s="106"/>
      <c r="U77" s="106"/>
      <c r="V77" s="106">
        <f>$K$77*SUMIFS(العميل!$V$12:$V$42,العميل!$G$12:$G$42,"LV",العميل!$F$12:$F$42,"Urban")/SUMIFS(العميل!$V$12:$V$42,العميل!$G$12:$G$42,"LV")</f>
        <v>685.42970678155586</v>
      </c>
      <c r="W77" s="106"/>
      <c r="X77" s="106"/>
      <c r="Y77" s="106">
        <f>$K$77*SUMIFS(العميل!$V$12:$V$42,العميل!$G$12:$G$42,"LV",العميل!$F$12:$F$42,"Rural")/SUMIFS(العميل!$V$12:$V$42,العميل!$G$12:$G$42,"LV")</f>
        <v>0</v>
      </c>
      <c r="Z77" s="106"/>
    </row>
    <row r="78" spans="2:26" x14ac:dyDescent="0.3">
      <c r="B78" s="61" t="s">
        <v>243</v>
      </c>
      <c r="C78" s="106">
        <f>SUM(C75:C77)</f>
        <v>800.3901448043564</v>
      </c>
      <c r="D78" s="106">
        <f>SUM(D75:D77)</f>
        <v>503.61805236917178</v>
      </c>
      <c r="E78" s="122">
        <f>SUM(E75:E77)</f>
        <v>1</v>
      </c>
      <c r="F78" s="123"/>
      <c r="G78" s="123"/>
      <c r="H78" s="123"/>
      <c r="I78" s="123"/>
      <c r="J78" s="123"/>
      <c r="K78" s="106">
        <f>SUM(K75:K77)</f>
        <v>800.3901448043564</v>
      </c>
      <c r="L78" s="106">
        <f t="shared" ref="L78:M78" si="52">SUM(L75:L77)</f>
        <v>0</v>
      </c>
      <c r="M78" s="106">
        <f t="shared" si="52"/>
        <v>87.947574039735883</v>
      </c>
      <c r="N78" s="106">
        <f t="shared" ref="N78" si="53">SUM(N75:N77)</f>
        <v>0</v>
      </c>
      <c r="O78" s="106">
        <f t="shared" ref="O78" si="54">SUM(O75:O77)</f>
        <v>0</v>
      </c>
      <c r="P78" s="106">
        <f t="shared" ref="P78" si="55">SUM(P75:P77)</f>
        <v>27.012863983064634</v>
      </c>
      <c r="Q78" s="106">
        <f t="shared" ref="Q78" si="56">SUM(Q75:Q77)</f>
        <v>0</v>
      </c>
      <c r="R78" s="106">
        <f t="shared" ref="R78" si="57">SUM(R75:R77)</f>
        <v>0</v>
      </c>
      <c r="S78" s="106">
        <f t="shared" ref="S78" si="58">SUM(S75:S77)</f>
        <v>0</v>
      </c>
      <c r="T78" s="106">
        <f t="shared" ref="T78" si="59">SUM(T75:T77)</f>
        <v>0</v>
      </c>
      <c r="U78" s="106">
        <f t="shared" ref="U78" si="60">SUM(U75:U77)</f>
        <v>0</v>
      </c>
      <c r="V78" s="106">
        <f t="shared" ref="V78" si="61">SUM(V75:V77)</f>
        <v>685.42970678155586</v>
      </c>
      <c r="W78" s="106">
        <f t="shared" ref="W78" si="62">SUM(W75:W77)</f>
        <v>0</v>
      </c>
      <c r="X78" s="106">
        <f t="shared" ref="X78" si="63">SUM(X75:X77)</f>
        <v>0</v>
      </c>
      <c r="Y78" s="106">
        <f t="shared" ref="Y78" si="64">SUM(Y75:Y77)</f>
        <v>0</v>
      </c>
      <c r="Z78" s="106">
        <f t="shared" ref="Z78" si="65">SUM(Z75:Z77)</f>
        <v>0</v>
      </c>
    </row>
    <row r="79" spans="2:26" x14ac:dyDescent="0.3">
      <c r="B79" s="100"/>
      <c r="L79" s="106"/>
      <c r="M79" s="106"/>
      <c r="N79" s="106"/>
      <c r="O79" s="106"/>
      <c r="P79" s="106"/>
      <c r="Q79" s="106"/>
      <c r="R79" s="106"/>
      <c r="S79" s="106"/>
      <c r="T79" s="106"/>
      <c r="U79" s="106"/>
      <c r="V79" s="106"/>
      <c r="W79" s="106"/>
      <c r="X79" s="106"/>
      <c r="Y79" s="106"/>
      <c r="Z79" s="106"/>
    </row>
    <row r="80" spans="2:26" x14ac:dyDescent="0.3">
      <c r="B80" s="100" t="s">
        <v>313</v>
      </c>
      <c r="L80" s="106"/>
      <c r="M80" s="106"/>
      <c r="N80" s="106"/>
      <c r="O80" s="106"/>
      <c r="P80" s="106"/>
      <c r="Q80" s="106"/>
      <c r="R80" s="106"/>
      <c r="S80" s="106"/>
      <c r="T80" s="106"/>
      <c r="U80" s="106"/>
      <c r="V80" s="106"/>
      <c r="W80" s="106"/>
      <c r="X80" s="106"/>
      <c r="Y80" s="106"/>
      <c r="Z80" s="106"/>
    </row>
    <row r="81" spans="2:26" x14ac:dyDescent="0.3">
      <c r="B81" s="69" t="s">
        <v>310</v>
      </c>
      <c r="C81" s="106">
        <f>النفقات!O18</f>
        <v>0.4677519256265093</v>
      </c>
      <c r="D81" s="106"/>
      <c r="E81" s="122"/>
      <c r="F81" s="123"/>
      <c r="G81" s="119"/>
      <c r="H81" s="123"/>
      <c r="I81" s="123"/>
      <c r="J81" s="123"/>
      <c r="K81" s="124">
        <f>C81</f>
        <v>0.4677519256265093</v>
      </c>
      <c r="L81" s="106"/>
      <c r="M81" s="106"/>
      <c r="N81" s="106">
        <f>K81</f>
        <v>0.4677519256265093</v>
      </c>
      <c r="O81" s="106"/>
      <c r="P81" s="106"/>
      <c r="Q81" s="106"/>
      <c r="R81" s="106"/>
      <c r="S81" s="106"/>
      <c r="T81" s="106"/>
      <c r="U81" s="106"/>
      <c r="V81" s="106"/>
      <c r="W81" s="106"/>
      <c r="X81" s="106"/>
      <c r="Y81" s="106"/>
      <c r="Z81" s="106"/>
    </row>
    <row r="82" spans="2:26" x14ac:dyDescent="0.3">
      <c r="B82" s="69" t="s">
        <v>298</v>
      </c>
      <c r="C82" s="106">
        <f>النفقات!O24</f>
        <v>5.112308618772798</v>
      </c>
      <c r="D82" s="106"/>
      <c r="E82" s="122"/>
      <c r="F82" s="123"/>
      <c r="G82" s="123"/>
      <c r="H82" s="123"/>
      <c r="I82" s="119"/>
      <c r="J82" s="123"/>
      <c r="K82" s="124">
        <f t="shared" ref="K82:K85" si="66">C82</f>
        <v>5.112308618772798</v>
      </c>
      <c r="L82" s="106"/>
      <c r="M82" s="106"/>
      <c r="N82" s="106"/>
      <c r="O82" s="106"/>
      <c r="P82" s="106"/>
      <c r="Q82" s="106">
        <f>K82</f>
        <v>5.112308618772798</v>
      </c>
      <c r="R82" s="106"/>
      <c r="S82" s="106"/>
      <c r="T82" s="106"/>
      <c r="U82" s="106"/>
      <c r="V82" s="106"/>
      <c r="W82" s="106"/>
      <c r="X82" s="106"/>
      <c r="Y82" s="106"/>
      <c r="Z82" s="106"/>
    </row>
    <row r="83" spans="2:26" x14ac:dyDescent="0.3">
      <c r="B83" s="69" t="s">
        <v>314</v>
      </c>
      <c r="C83" s="106">
        <f>النفقات!O30</f>
        <v>0</v>
      </c>
      <c r="D83" s="106"/>
      <c r="E83" s="122"/>
      <c r="F83" s="123"/>
      <c r="G83" s="123"/>
      <c r="H83" s="123"/>
      <c r="I83" s="119"/>
      <c r="J83" s="123"/>
      <c r="K83" s="124">
        <f t="shared" si="66"/>
        <v>0</v>
      </c>
      <c r="L83" s="106"/>
      <c r="M83" s="106"/>
      <c r="N83" s="106"/>
      <c r="O83" s="106"/>
      <c r="P83" s="106"/>
      <c r="Q83" s="106"/>
      <c r="R83" s="106"/>
      <c r="S83" s="106"/>
      <c r="T83" s="106">
        <f>K83</f>
        <v>0</v>
      </c>
      <c r="U83" s="106"/>
      <c r="V83" s="106"/>
      <c r="W83" s="106"/>
      <c r="X83" s="106"/>
      <c r="Y83" s="106"/>
      <c r="Z83" s="106"/>
    </row>
    <row r="84" spans="2:26" x14ac:dyDescent="0.3">
      <c r="B84" s="69" t="s">
        <v>299</v>
      </c>
      <c r="C84" s="106">
        <f>النفقات!O36</f>
        <v>139.10725526786754</v>
      </c>
      <c r="D84" s="106"/>
      <c r="E84" s="122"/>
      <c r="F84" s="123"/>
      <c r="G84" s="123"/>
      <c r="H84" s="123"/>
      <c r="I84" s="119"/>
      <c r="J84" s="123"/>
      <c r="K84" s="124">
        <f t="shared" si="66"/>
        <v>139.10725526786754</v>
      </c>
      <c r="L84" s="106"/>
      <c r="M84" s="106"/>
      <c r="N84" s="106"/>
      <c r="O84" s="106"/>
      <c r="P84" s="106"/>
      <c r="Q84" s="106"/>
      <c r="R84" s="106"/>
      <c r="S84" s="106"/>
      <c r="T84" s="106"/>
      <c r="U84" s="106"/>
      <c r="V84" s="106"/>
      <c r="W84" s="106">
        <f>K84</f>
        <v>139.10725526786754</v>
      </c>
      <c r="X84" s="106"/>
      <c r="Y84" s="106"/>
      <c r="Z84" s="106"/>
    </row>
    <row r="85" spans="2:26" x14ac:dyDescent="0.3">
      <c r="B85" s="69" t="s">
        <v>300</v>
      </c>
      <c r="C85" s="106">
        <f>النفقات!O42</f>
        <v>0</v>
      </c>
      <c r="D85" s="106"/>
      <c r="E85" s="122"/>
      <c r="F85" s="123"/>
      <c r="G85" s="123"/>
      <c r="H85" s="123"/>
      <c r="I85" s="123"/>
      <c r="J85" s="123"/>
      <c r="K85" s="124">
        <f t="shared" si="66"/>
        <v>0</v>
      </c>
      <c r="L85" s="106"/>
      <c r="M85" s="106"/>
      <c r="N85" s="106"/>
      <c r="O85" s="106"/>
      <c r="P85" s="106"/>
      <c r="Q85" s="106"/>
      <c r="R85" s="106"/>
      <c r="S85" s="106"/>
      <c r="T85" s="106"/>
      <c r="U85" s="106"/>
      <c r="V85" s="106"/>
      <c r="W85" s="106"/>
      <c r="X85" s="106"/>
      <c r="Y85" s="106"/>
      <c r="Z85" s="106">
        <f>K85</f>
        <v>0</v>
      </c>
    </row>
    <row r="86" spans="2:26" x14ac:dyDescent="0.3">
      <c r="B86" s="61" t="s">
        <v>243</v>
      </c>
      <c r="C86" s="106">
        <f>SUM(C81:C85)</f>
        <v>144.68731581226686</v>
      </c>
      <c r="D86" s="106"/>
      <c r="E86" s="122"/>
      <c r="F86" s="123"/>
      <c r="G86" s="123"/>
      <c r="H86" s="123"/>
      <c r="I86" s="123"/>
      <c r="J86" s="123"/>
      <c r="K86" s="106">
        <f>SUM(K81:K85)</f>
        <v>144.68731581226686</v>
      </c>
      <c r="L86" s="106">
        <f t="shared" ref="L86" si="67">SUM(L81:L85)</f>
        <v>0</v>
      </c>
      <c r="M86" s="106">
        <f t="shared" ref="M86" si="68">SUM(M81:M85)</f>
        <v>0</v>
      </c>
      <c r="N86" s="106">
        <f t="shared" ref="N86" si="69">SUM(N81:N85)</f>
        <v>0.4677519256265093</v>
      </c>
      <c r="O86" s="106">
        <f t="shared" ref="O86" si="70">SUM(O81:O85)</f>
        <v>0</v>
      </c>
      <c r="P86" s="106">
        <f t="shared" ref="P86" si="71">SUM(P81:P85)</f>
        <v>0</v>
      </c>
      <c r="Q86" s="106">
        <f t="shared" ref="Q86" si="72">SUM(Q81:Q85)</f>
        <v>5.112308618772798</v>
      </c>
      <c r="R86" s="106">
        <f t="shared" ref="R86" si="73">SUM(R81:R85)</f>
        <v>0</v>
      </c>
      <c r="S86" s="106">
        <f t="shared" ref="S86" si="74">SUM(S81:S85)</f>
        <v>0</v>
      </c>
      <c r="T86" s="106">
        <f t="shared" ref="T86" si="75">SUM(T81:T85)</f>
        <v>0</v>
      </c>
      <c r="U86" s="106">
        <f t="shared" ref="U86" si="76">SUM(U81:U85)</f>
        <v>0</v>
      </c>
      <c r="V86" s="106">
        <f t="shared" ref="V86" si="77">SUM(V81:V85)</f>
        <v>0</v>
      </c>
      <c r="W86" s="106">
        <f t="shared" ref="W86" si="78">SUM(W81:W85)</f>
        <v>139.10725526786754</v>
      </c>
      <c r="X86" s="106">
        <f t="shared" ref="X86" si="79">SUM(X81:X85)</f>
        <v>0</v>
      </c>
      <c r="Y86" s="106">
        <f t="shared" ref="Y86" si="80">SUM(Y81:Y85)</f>
        <v>0</v>
      </c>
      <c r="Z86" s="106">
        <f t="shared" ref="Z86" si="81">SUM(Z81:Z85)</f>
        <v>0</v>
      </c>
    </row>
    <row r="87" spans="2:26" x14ac:dyDescent="0.3">
      <c r="B87" s="100"/>
      <c r="C87" s="117"/>
      <c r="D87" s="117"/>
      <c r="E87" s="125"/>
      <c r="F87" s="126"/>
      <c r="G87" s="126"/>
      <c r="H87" s="126"/>
      <c r="I87" s="126"/>
      <c r="J87" s="126"/>
      <c r="K87" s="117"/>
    </row>
    <row r="88" spans="2:26" x14ac:dyDescent="0.3">
      <c r="B88" s="100" t="s">
        <v>158</v>
      </c>
      <c r="C88" s="117"/>
      <c r="D88" s="117"/>
      <c r="E88" s="125"/>
      <c r="F88" s="126"/>
      <c r="G88" s="126"/>
      <c r="H88" s="126"/>
      <c r="I88" s="126"/>
      <c r="J88" s="126"/>
      <c r="K88" s="117"/>
    </row>
    <row r="89" spans="2:26" x14ac:dyDescent="0.3">
      <c r="B89" s="69" t="s">
        <v>315</v>
      </c>
      <c r="C89" s="106">
        <f>SUM(C56,C64,C72,C78,C86)</f>
        <v>1423.421290653949</v>
      </c>
      <c r="D89" s="106"/>
      <c r="E89" s="122"/>
      <c r="F89" s="123"/>
      <c r="G89" s="123"/>
      <c r="H89" s="123"/>
      <c r="I89" s="123"/>
      <c r="J89" s="123"/>
      <c r="K89" s="106">
        <f>SUM(K56,K64,K72,K78,K86)</f>
        <v>1423.421290653949</v>
      </c>
      <c r="L89" s="106">
        <f>SUM(L56,L64,L72,L78,L86)</f>
        <v>87.371745818983143</v>
      </c>
      <c r="M89" s="106">
        <f t="shared" ref="M89:Z89" si="82">SUM(M56,M64,M72,M78,M86)</f>
        <v>158.79005205800109</v>
      </c>
      <c r="N89" s="106">
        <f t="shared" si="82"/>
        <v>0.4677519256265093</v>
      </c>
      <c r="O89" s="106">
        <f t="shared" si="82"/>
        <v>44.236567835058807</v>
      </c>
      <c r="P89" s="106">
        <f t="shared" si="82"/>
        <v>47.040573407918231</v>
      </c>
      <c r="Q89" s="106">
        <f t="shared" si="82"/>
        <v>5.112308618772798</v>
      </c>
      <c r="R89" s="106">
        <f t="shared" si="82"/>
        <v>0</v>
      </c>
      <c r="S89" s="106">
        <f t="shared" si="82"/>
        <v>0</v>
      </c>
      <c r="T89" s="106">
        <f t="shared" si="82"/>
        <v>0</v>
      </c>
      <c r="U89" s="106">
        <f t="shared" si="82"/>
        <v>107.79718634595804</v>
      </c>
      <c r="V89" s="106">
        <f t="shared" si="82"/>
        <v>833.49784937576283</v>
      </c>
      <c r="W89" s="106">
        <f t="shared" si="82"/>
        <v>139.10725526786754</v>
      </c>
      <c r="X89" s="106">
        <f t="shared" si="82"/>
        <v>0</v>
      </c>
      <c r="Y89" s="106">
        <f t="shared" si="82"/>
        <v>0</v>
      </c>
      <c r="Z89" s="106">
        <f t="shared" si="82"/>
        <v>0</v>
      </c>
    </row>
    <row r="90" spans="2:26" x14ac:dyDescent="0.3">
      <c r="B90" s="69" t="s">
        <v>316</v>
      </c>
      <c r="C90" s="106"/>
      <c r="D90" s="106"/>
      <c r="E90" s="122"/>
      <c r="F90" s="123"/>
      <c r="G90" s="123"/>
      <c r="H90" s="123"/>
      <c r="I90" s="123"/>
      <c r="J90" s="123"/>
      <c r="K90" s="106"/>
      <c r="L90" s="106"/>
      <c r="M90" s="106">
        <f>M42</f>
        <v>122.47090249410761</v>
      </c>
      <c r="N90" s="106">
        <f>N42</f>
        <v>0.59157712422506414</v>
      </c>
      <c r="O90" s="106"/>
      <c r="P90" s="106">
        <f t="shared" ref="P90:Q90" si="83">P42</f>
        <v>36.876140827532616</v>
      </c>
      <c r="Q90" s="106">
        <f t="shared" si="83"/>
        <v>3.2214068934385018</v>
      </c>
      <c r="R90" s="106"/>
      <c r="S90" s="106">
        <f t="shared" ref="S90:T90" si="84">S42</f>
        <v>0</v>
      </c>
      <c r="T90" s="106">
        <f t="shared" si="84"/>
        <v>0</v>
      </c>
      <c r="U90" s="106"/>
      <c r="V90" s="106">
        <f t="shared" ref="V90:W90" si="85">V42</f>
        <v>338.52941876352548</v>
      </c>
      <c r="W90" s="106">
        <f t="shared" si="85"/>
        <v>6.0913426475189683</v>
      </c>
      <c r="X90" s="106"/>
      <c r="Y90" s="106">
        <f t="shared" ref="Y90:Z90" si="86">Y42</f>
        <v>0</v>
      </c>
      <c r="Z90" s="106">
        <f t="shared" si="86"/>
        <v>0</v>
      </c>
    </row>
    <row r="91" spans="2:26" x14ac:dyDescent="0.3">
      <c r="B91" s="69" t="s">
        <v>317</v>
      </c>
      <c r="C91" s="106"/>
      <c r="D91" s="106"/>
      <c r="E91" s="122"/>
      <c r="F91" s="123"/>
      <c r="G91" s="123"/>
      <c r="H91" s="123"/>
      <c r="I91" s="123"/>
      <c r="J91" s="123"/>
      <c r="K91" s="106"/>
      <c r="L91" s="106">
        <f>L89+L90</f>
        <v>87.371745818983143</v>
      </c>
      <c r="M91" s="106">
        <f t="shared" ref="M91:O91" si="87">M89+M90</f>
        <v>281.26095455210873</v>
      </c>
      <c r="N91" s="106">
        <f t="shared" si="87"/>
        <v>1.0593290498515735</v>
      </c>
      <c r="O91" s="106">
        <f t="shared" si="87"/>
        <v>44.236567835058807</v>
      </c>
      <c r="P91" s="106">
        <f t="shared" ref="P91" si="88">P89+P90</f>
        <v>83.916714235450854</v>
      </c>
      <c r="Q91" s="106">
        <f t="shared" ref="Q91:R91" si="89">Q89+Q90</f>
        <v>8.3337155122112989</v>
      </c>
      <c r="R91" s="106">
        <f t="shared" si="89"/>
        <v>0</v>
      </c>
      <c r="S91" s="106">
        <f t="shared" ref="S91" si="90">S89+S90</f>
        <v>0</v>
      </c>
      <c r="T91" s="106">
        <f t="shared" ref="T91:U91" si="91">T89+T90</f>
        <v>0</v>
      </c>
      <c r="U91" s="106">
        <f t="shared" si="91"/>
        <v>107.79718634595804</v>
      </c>
      <c r="V91" s="106">
        <f t="shared" ref="V91" si="92">V89+V90</f>
        <v>1172.0272681392883</v>
      </c>
      <c r="W91" s="106">
        <f t="shared" ref="W91:X91" si="93">W89+W90</f>
        <v>145.1985979153865</v>
      </c>
      <c r="X91" s="106">
        <f t="shared" si="93"/>
        <v>0</v>
      </c>
      <c r="Y91" s="106">
        <f t="shared" ref="Y91" si="94">Y89+Y90</f>
        <v>0</v>
      </c>
      <c r="Z91" s="106">
        <f t="shared" ref="Z91" si="95">Z89+Z90</f>
        <v>0</v>
      </c>
    </row>
    <row r="94" spans="2:26" x14ac:dyDescent="0.3">
      <c r="L94" s="143" t="s">
        <v>323</v>
      </c>
      <c r="M94" s="143"/>
      <c r="N94" s="143"/>
      <c r="O94" s="143"/>
      <c r="P94" s="143"/>
      <c r="Q94" s="143"/>
      <c r="R94" s="143"/>
      <c r="S94" s="143"/>
      <c r="T94" s="143"/>
      <c r="U94" s="143"/>
      <c r="V94" s="143"/>
      <c r="W94" s="143"/>
      <c r="X94" s="143"/>
      <c r="Y94" s="143"/>
      <c r="Z94" s="143"/>
    </row>
    <row r="95" spans="2:26" x14ac:dyDescent="0.3">
      <c r="L95" s="152" t="s">
        <v>310</v>
      </c>
      <c r="M95" s="152"/>
      <c r="N95" s="152"/>
      <c r="O95" s="152" t="s">
        <v>298</v>
      </c>
      <c r="P95" s="152"/>
      <c r="Q95" s="152"/>
      <c r="R95" s="152" t="s">
        <v>299</v>
      </c>
      <c r="S95" s="152"/>
      <c r="T95" s="152"/>
      <c r="U95" s="152" t="s">
        <v>301</v>
      </c>
      <c r="V95" s="152"/>
      <c r="W95" s="152"/>
      <c r="X95" s="152" t="s">
        <v>300</v>
      </c>
      <c r="Y95" s="152"/>
      <c r="Z95" s="152"/>
    </row>
    <row r="96" spans="2:26" ht="26" x14ac:dyDescent="0.3">
      <c r="L96" s="120" t="s">
        <v>321</v>
      </c>
      <c r="M96" s="120" t="s">
        <v>296</v>
      </c>
      <c r="N96" s="120" t="s">
        <v>297</v>
      </c>
      <c r="O96" s="120" t="s">
        <v>321</v>
      </c>
      <c r="P96" s="120" t="s">
        <v>296</v>
      </c>
      <c r="Q96" s="120" t="s">
        <v>297</v>
      </c>
      <c r="R96" s="120" t="s">
        <v>321</v>
      </c>
      <c r="S96" s="120" t="s">
        <v>296</v>
      </c>
      <c r="T96" s="120" t="s">
        <v>297</v>
      </c>
      <c r="U96" s="120" t="s">
        <v>321</v>
      </c>
      <c r="V96" s="120" t="s">
        <v>296</v>
      </c>
      <c r="W96" s="120" t="s">
        <v>297</v>
      </c>
      <c r="X96" s="120" t="s">
        <v>321</v>
      </c>
      <c r="Y96" s="120" t="s">
        <v>296</v>
      </c>
      <c r="Z96" s="120" t="s">
        <v>297</v>
      </c>
    </row>
    <row r="97" spans="10:26" x14ac:dyDescent="0.3">
      <c r="L97" s="120"/>
      <c r="M97" s="120"/>
      <c r="N97" s="120"/>
      <c r="O97" s="120"/>
      <c r="P97" s="120"/>
      <c r="Q97" s="120"/>
      <c r="R97" s="120"/>
      <c r="S97" s="120"/>
      <c r="T97" s="120"/>
      <c r="U97" s="120"/>
      <c r="V97" s="120"/>
      <c r="W97" s="120"/>
      <c r="X97" s="120"/>
      <c r="Y97" s="120"/>
      <c r="Z97" s="120"/>
    </row>
    <row r="98" spans="10:26" x14ac:dyDescent="0.3">
      <c r="J98" s="61" t="s">
        <v>341</v>
      </c>
      <c r="L98" s="127">
        <f>SUMIF(العميل!$G$12:$G$42,"HV",العميل!$K$12:$K$42)</f>
        <v>1083.303552034185</v>
      </c>
      <c r="M98" s="127">
        <f>SUMIF(العميل!$G$12:$G$42,"HV",العميل!$L$12:$L$42)</f>
        <v>150.81071834755889</v>
      </c>
      <c r="N98" s="127">
        <f>SUMIF(العميل!$G$12:$G$42,"HV",العميل!$J$12:$J$42)</f>
        <v>6</v>
      </c>
      <c r="O98" s="127">
        <f>SUMIFS(العميل!$K$12:$K$42,العميل!$G$12:$G$42,"MV",العميل!$F$12:$F$42,"Urban")</f>
        <v>520.43715804564965</v>
      </c>
      <c r="P98" s="127">
        <f>SUMIFS(العميل!$L$12:$L$42,العميل!$G$12:$G$42,"MV",العميل!$F$12:$F$42,"Urban")</f>
        <v>110.35629778742891</v>
      </c>
      <c r="Q98" s="127">
        <f>SUMIFS(العميل!$J$12:$J$42,العميل!$G$12:$G$42,"MV",العميل!$F$12:$F$42,"Urban")</f>
        <v>4228.5892030848336</v>
      </c>
      <c r="R98" s="127">
        <f>SUMIFS(العميل!$K$12:$K$42,العميل!$G$12:$G$42,"MV",العميل!$F$12:$F$42,"Rural")</f>
        <v>0</v>
      </c>
      <c r="S98" s="127">
        <f>SUMIFS(العميل!$L$12:$L$42,العميل!$G$12:$G$42,"MV",العميل!$F$12:$F$42,"Rural")</f>
        <v>0</v>
      </c>
      <c r="T98" s="127">
        <f>SUMIFS(العميل!$J$12:$J$42,العميل!$G$12:$G$42,"MV",العميل!$F$12:$F$42,"Rural")</f>
        <v>0</v>
      </c>
      <c r="U98" s="127">
        <f>SUMIFS(العميل!$K$12:$K$42,العميل!$G$12:$G$42,"LV",العميل!$F$12:$F$42,"Urban")</f>
        <v>1312.5092899201654</v>
      </c>
      <c r="V98" s="127">
        <f>SUMIFS(العميل!$L$12:$L$42,العميل!$G$12:$G$42,"LV",العميل!$F$12:$F$42,"Urban")</f>
        <v>401.31064095296381</v>
      </c>
      <c r="W98" s="127">
        <f>SUMIFS(العميل!$J$12:$J$42,العميل!$G$12:$G$42,"LV",العميل!$F$12:$F$42,"Urban")</f>
        <v>194380.47089624876</v>
      </c>
      <c r="X98" s="127">
        <f>SUMIFS(العميل!$K$12:$K$42,العميل!$G$12:$G$42,"LV",العميل!$F$12:$F$42,"Rural")</f>
        <v>0</v>
      </c>
      <c r="Y98" s="127">
        <f>SUMIFS(العميل!$L$12:$L$42,العميل!$G$12:$G$42,"LV",العميل!$F$12:$F$42,"Rural")</f>
        <v>0</v>
      </c>
      <c r="Z98" s="127">
        <f>SUMIFS(العميل!$J$12:$J$42,العميل!$G$12:$G$42,"LV",العميل!$F$12:$F$42,"Rural")</f>
        <v>0</v>
      </c>
    </row>
    <row r="99" spans="10:26" s="97" customFormat="1" ht="21" customHeight="1" x14ac:dyDescent="0.3">
      <c r="L99" s="128" t="s">
        <v>251</v>
      </c>
      <c r="M99" s="128" t="s">
        <v>324</v>
      </c>
      <c r="N99" s="128" t="s">
        <v>145</v>
      </c>
      <c r="O99" s="128" t="s">
        <v>251</v>
      </c>
      <c r="P99" s="128" t="s">
        <v>329</v>
      </c>
      <c r="Q99" s="128" t="s">
        <v>145</v>
      </c>
      <c r="R99" s="128" t="s">
        <v>251</v>
      </c>
      <c r="S99" s="128" t="s">
        <v>329</v>
      </c>
      <c r="T99" s="128" t="s">
        <v>145</v>
      </c>
      <c r="U99" s="128" t="s">
        <v>251</v>
      </c>
      <c r="V99" s="128" t="s">
        <v>329</v>
      </c>
      <c r="W99" s="128" t="s">
        <v>145</v>
      </c>
      <c r="X99" s="128" t="s">
        <v>251</v>
      </c>
      <c r="Y99" s="128" t="s">
        <v>329</v>
      </c>
      <c r="Z99" s="128" t="s">
        <v>145</v>
      </c>
    </row>
    <row r="100" spans="10:26" s="97" customFormat="1" x14ac:dyDescent="0.3">
      <c r="L100" s="128"/>
      <c r="M100" s="128"/>
      <c r="N100" s="128"/>
      <c r="O100" s="128"/>
      <c r="P100" s="128"/>
      <c r="Q100" s="128"/>
      <c r="R100" s="128"/>
      <c r="S100" s="128"/>
      <c r="T100" s="128"/>
      <c r="U100" s="128"/>
      <c r="V100" s="128"/>
      <c r="W100" s="128"/>
      <c r="X100" s="128"/>
      <c r="Y100" s="128"/>
      <c r="Z100" s="128"/>
    </row>
    <row r="101" spans="10:26" x14ac:dyDescent="0.3">
      <c r="J101" s="61" t="s">
        <v>340</v>
      </c>
      <c r="L101" s="129">
        <f>IFERROR(L91/L98,"--")</f>
        <v>8.0653059481730585E-2</v>
      </c>
      <c r="M101" s="130">
        <f>IFERROR(M91*1000/M98,"--")</f>
        <v>1864.9931359912614</v>
      </c>
      <c r="N101" s="130">
        <f>IFERROR(N91*10^6/N98,"--")</f>
        <v>176554.84164192891</v>
      </c>
      <c r="O101" s="129">
        <f t="shared" ref="O101" si="96">IFERROR(O91/O98,"--")</f>
        <v>8.4998865187059985E-2</v>
      </c>
      <c r="P101" s="130">
        <f t="shared" ref="P101" si="97">IFERROR(P91*1000/P98,"--")</f>
        <v>760.41617848664464</v>
      </c>
      <c r="Q101" s="130">
        <f t="shared" ref="Q101" si="98">IFERROR(Q91*10^6/Q98,"--")</f>
        <v>1970.8028167247128</v>
      </c>
      <c r="R101" s="129" t="str">
        <f t="shared" ref="R101" si="99">IFERROR(R91/R98,"--")</f>
        <v>--</v>
      </c>
      <c r="S101" s="130" t="str">
        <f t="shared" ref="S101" si="100">IFERROR(S91*1000/S98,"--")</f>
        <v>--</v>
      </c>
      <c r="T101" s="130" t="str">
        <f t="shared" ref="T101" si="101">IFERROR(T91*10^6/T98,"--")</f>
        <v>--</v>
      </c>
      <c r="U101" s="129">
        <f t="shared" ref="U101" si="102">IFERROR(U91/U98,"--")</f>
        <v>8.2130608273648792E-2</v>
      </c>
      <c r="V101" s="130">
        <f t="shared" ref="V101" si="103">IFERROR(V91*1000/V98,"--")</f>
        <v>2920.4988568360873</v>
      </c>
      <c r="W101" s="130">
        <f t="shared" ref="W101" si="104">IFERROR(W91*10^6/W98,"--")</f>
        <v>746.98140839923542</v>
      </c>
      <c r="X101" s="129" t="str">
        <f t="shared" ref="X101" si="105">IFERROR(X91/X98,"--")</f>
        <v>--</v>
      </c>
      <c r="Y101" s="130" t="str">
        <f t="shared" ref="Y101" si="106">IFERROR(Y91*1000/Y98,"--")</f>
        <v>--</v>
      </c>
      <c r="Z101" s="130" t="str">
        <f t="shared" ref="Z101" si="107">IFERROR(Z91*10^6/Z98,"--")</f>
        <v>--</v>
      </c>
    </row>
    <row r="102" spans="10:26" s="131" customFormat="1" ht="26" x14ac:dyDescent="0.35">
      <c r="L102" s="132" t="s">
        <v>330</v>
      </c>
      <c r="M102" s="132" t="s">
        <v>331</v>
      </c>
      <c r="N102" s="132" t="s">
        <v>23</v>
      </c>
      <c r="O102" s="132" t="s">
        <v>331</v>
      </c>
      <c r="P102" s="132" t="s">
        <v>331</v>
      </c>
      <c r="Q102" s="132" t="s">
        <v>331</v>
      </c>
      <c r="R102" s="132" t="s">
        <v>332</v>
      </c>
      <c r="S102" s="132" t="s">
        <v>332</v>
      </c>
      <c r="T102" s="132" t="s">
        <v>333</v>
      </c>
      <c r="U102" s="132" t="s">
        <v>330</v>
      </c>
      <c r="V102" s="132" t="s">
        <v>330</v>
      </c>
      <c r="W102" s="132" t="s">
        <v>333</v>
      </c>
      <c r="X102" s="132" t="s">
        <v>330</v>
      </c>
      <c r="Y102" s="132" t="s">
        <v>330</v>
      </c>
      <c r="Z102" s="132" t="s">
        <v>333</v>
      </c>
    </row>
    <row r="103" spans="10:26" x14ac:dyDescent="0.3">
      <c r="L103" s="133"/>
      <c r="M103" s="133"/>
      <c r="N103" s="133"/>
      <c r="O103" s="133"/>
      <c r="P103" s="133"/>
      <c r="Q103" s="133"/>
      <c r="R103" s="133"/>
      <c r="S103" s="133"/>
      <c r="T103" s="133"/>
      <c r="U103" s="133"/>
      <c r="V103" s="133"/>
      <c r="W103" s="133"/>
      <c r="X103" s="133"/>
      <c r="Y103" s="133"/>
      <c r="Z103" s="133"/>
    </row>
    <row r="104" spans="10:26" x14ac:dyDescent="0.3">
      <c r="L104" s="133"/>
      <c r="M104" s="133"/>
      <c r="N104" s="133"/>
      <c r="O104" s="133"/>
      <c r="P104" s="133"/>
      <c r="Q104" s="133"/>
      <c r="R104" s="133"/>
      <c r="S104" s="133"/>
      <c r="T104" s="133"/>
      <c r="U104" s="133"/>
      <c r="V104" s="133"/>
      <c r="W104" s="133"/>
      <c r="X104" s="133"/>
      <c r="Y104" s="133"/>
      <c r="Z104" s="133"/>
    </row>
    <row r="105" spans="10:26" x14ac:dyDescent="0.3">
      <c r="L105" s="152" t="s">
        <v>334</v>
      </c>
      <c r="M105" s="152"/>
      <c r="N105" s="152"/>
      <c r="Q105" s="152" t="s">
        <v>335</v>
      </c>
      <c r="R105" s="152"/>
      <c r="S105" s="152"/>
      <c r="V105" s="152" t="s">
        <v>336</v>
      </c>
      <c r="W105" s="152"/>
      <c r="X105" s="152"/>
    </row>
    <row r="106" spans="10:26" x14ac:dyDescent="0.3">
      <c r="L106" s="133" t="s">
        <v>310</v>
      </c>
      <c r="M106" s="133" t="s">
        <v>339</v>
      </c>
      <c r="N106" s="133" t="s">
        <v>294</v>
      </c>
      <c r="Q106" s="133" t="s">
        <v>310</v>
      </c>
      <c r="R106" s="133" t="s">
        <v>339</v>
      </c>
      <c r="S106" s="133" t="s">
        <v>294</v>
      </c>
      <c r="V106" s="133" t="s">
        <v>310</v>
      </c>
      <c r="W106" s="133" t="s">
        <v>339</v>
      </c>
      <c r="X106" s="133" t="s">
        <v>294</v>
      </c>
    </row>
    <row r="107" spans="10:26" x14ac:dyDescent="0.3">
      <c r="K107" s="61" t="s">
        <v>337</v>
      </c>
      <c r="L107" s="129">
        <f>$L$101</f>
        <v>8.0653059481730585E-2</v>
      </c>
      <c r="M107" s="129">
        <f>$O$101</f>
        <v>8.4998865187059985E-2</v>
      </c>
      <c r="N107" s="129">
        <f>$U$101</f>
        <v>8.2130608273648792E-2</v>
      </c>
      <c r="P107" s="61" t="s">
        <v>337</v>
      </c>
      <c r="Q107" s="130">
        <f>$M$101</f>
        <v>1864.9931359912614</v>
      </c>
      <c r="R107" s="130">
        <f>$P$101</f>
        <v>760.41617848664464</v>
      </c>
      <c r="S107" s="130">
        <f>$V$101</f>
        <v>2920.4988568360873</v>
      </c>
      <c r="U107" s="61" t="s">
        <v>337</v>
      </c>
      <c r="V107" s="130">
        <f>$N$101</f>
        <v>176554.84164192891</v>
      </c>
      <c r="W107" s="130">
        <f>$Q$101</f>
        <v>1970.8028167247128</v>
      </c>
      <c r="X107" s="130">
        <f>$W$101</f>
        <v>746.98140839923542</v>
      </c>
    </row>
    <row r="108" spans="10:26" x14ac:dyDescent="0.3">
      <c r="K108" s="61" t="s">
        <v>338</v>
      </c>
      <c r="L108" s="129">
        <f>$L$101</f>
        <v>8.0653059481730585E-2</v>
      </c>
      <c r="M108" s="129" t="str">
        <f>$R$101</f>
        <v>--</v>
      </c>
      <c r="N108" s="129" t="str">
        <f>$X$101</f>
        <v>--</v>
      </c>
      <c r="P108" s="61" t="s">
        <v>338</v>
      </c>
      <c r="Q108" s="130">
        <f>$M$101</f>
        <v>1864.9931359912614</v>
      </c>
      <c r="R108" s="130" t="str">
        <f>$S$101</f>
        <v>--</v>
      </c>
      <c r="S108" s="130" t="str">
        <f>$Y$101</f>
        <v>--</v>
      </c>
      <c r="U108" s="61" t="s">
        <v>338</v>
      </c>
      <c r="V108" s="130">
        <f>$N$101</f>
        <v>176554.84164192891</v>
      </c>
      <c r="W108" s="130" t="str">
        <f>$T$101</f>
        <v>--</v>
      </c>
      <c r="X108" s="130" t="str">
        <f>$Z$101</f>
        <v>--</v>
      </c>
    </row>
  </sheetData>
  <mergeCells count="23">
    <mergeCell ref="L105:N105"/>
    <mergeCell ref="Q105:S105"/>
    <mergeCell ref="V105:X105"/>
    <mergeCell ref="L95:N95"/>
    <mergeCell ref="O95:Q95"/>
    <mergeCell ref="R95:T95"/>
    <mergeCell ref="U95:W95"/>
    <mergeCell ref="X95:Z95"/>
    <mergeCell ref="L94:Z94"/>
    <mergeCell ref="X15:Z15"/>
    <mergeCell ref="L46:Z46"/>
    <mergeCell ref="L47:N47"/>
    <mergeCell ref="O47:Q47"/>
    <mergeCell ref="R47:T47"/>
    <mergeCell ref="U47:W47"/>
    <mergeCell ref="X47:Z47"/>
    <mergeCell ref="C14:K15"/>
    <mergeCell ref="C46:K47"/>
    <mergeCell ref="L14:Z14"/>
    <mergeCell ref="L15:N15"/>
    <mergeCell ref="O15:Q15"/>
    <mergeCell ref="R15:T15"/>
    <mergeCell ref="U15:W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31AD-B978-4880-A679-2FA2DD500549}">
  <dimension ref="B2:AD37"/>
  <sheetViews>
    <sheetView showGridLines="0" rightToLeft="1" topLeftCell="B1" zoomScale="120" zoomScaleNormal="120" workbookViewId="0">
      <pane xSplit="6" ySplit="5" topLeftCell="I6" activePane="bottomRight" state="frozen"/>
      <selection activeCell="B1" sqref="B1"/>
      <selection pane="topRight" activeCell="H1" sqref="H1"/>
      <selection pane="bottomLeft" activeCell="B6" sqref="B6"/>
      <selection pane="bottomRight" activeCell="B1" sqref="A1:XFD1048576"/>
    </sheetView>
  </sheetViews>
  <sheetFormatPr defaultColWidth="9.1796875" defaultRowHeight="13" x14ac:dyDescent="0.3"/>
  <cols>
    <col min="1" max="2" width="5.54296875" style="61" customWidth="1"/>
    <col min="3" max="5" width="9.1796875" style="61"/>
    <col min="6" max="6" width="10.453125" style="61" customWidth="1"/>
    <col min="7" max="16384" width="9.1796875" style="61"/>
  </cols>
  <sheetData>
    <row r="2" spans="2:30" x14ac:dyDescent="0.3">
      <c r="M2" s="65" t="s">
        <v>247</v>
      </c>
    </row>
    <row r="4" spans="2:30" s="12" customFormat="1" ht="22.5" customHeight="1" x14ac:dyDescent="0.35">
      <c r="C4" s="148" t="s">
        <v>142</v>
      </c>
      <c r="D4" s="148"/>
      <c r="E4" s="148"/>
      <c r="F4" s="148" t="s">
        <v>143</v>
      </c>
      <c r="G4" s="148" t="s">
        <v>144</v>
      </c>
      <c r="H4" s="148" t="s">
        <v>246</v>
      </c>
      <c r="I4" s="148"/>
      <c r="J4" s="148"/>
      <c r="K4" s="148" t="s">
        <v>248</v>
      </c>
      <c r="L4" s="148"/>
      <c r="M4" s="148"/>
      <c r="N4" s="148"/>
      <c r="O4" s="148" t="s">
        <v>249</v>
      </c>
      <c r="P4" s="148"/>
      <c r="Q4" s="148"/>
      <c r="R4" s="148"/>
      <c r="S4" s="148" t="s">
        <v>250</v>
      </c>
      <c r="T4" s="148"/>
      <c r="U4" s="148"/>
      <c r="V4" s="148"/>
      <c r="AB4" s="103" t="s">
        <v>330</v>
      </c>
      <c r="AC4" s="103" t="s">
        <v>342</v>
      </c>
      <c r="AD4" s="103" t="s">
        <v>333</v>
      </c>
    </row>
    <row r="5" spans="2:30" s="12" customFormat="1" ht="52" x14ac:dyDescent="0.35">
      <c r="C5" s="148"/>
      <c r="D5" s="148"/>
      <c r="E5" s="148"/>
      <c r="F5" s="148"/>
      <c r="G5" s="148"/>
      <c r="H5" s="12" t="s">
        <v>251</v>
      </c>
      <c r="I5" s="12" t="s">
        <v>329</v>
      </c>
      <c r="J5" s="12" t="s">
        <v>145</v>
      </c>
      <c r="K5" s="12" t="s">
        <v>252</v>
      </c>
      <c r="L5" s="12" t="s">
        <v>61</v>
      </c>
      <c r="M5" s="12" t="s">
        <v>253</v>
      </c>
      <c r="N5" s="12" t="s">
        <v>254</v>
      </c>
      <c r="O5" s="12" t="s">
        <v>92</v>
      </c>
      <c r="P5" s="12" t="s">
        <v>156</v>
      </c>
      <c r="Q5" s="12" t="s">
        <v>255</v>
      </c>
      <c r="R5" s="12" t="s">
        <v>256</v>
      </c>
      <c r="S5" s="12" t="s">
        <v>252</v>
      </c>
      <c r="T5" s="12" t="s">
        <v>61</v>
      </c>
      <c r="U5" s="12" t="s">
        <v>253</v>
      </c>
      <c r="V5" s="12" t="s">
        <v>254</v>
      </c>
      <c r="AB5" s="12" t="s">
        <v>252</v>
      </c>
      <c r="AC5" s="12" t="s">
        <v>61</v>
      </c>
      <c r="AD5" s="12" t="s">
        <v>253</v>
      </c>
    </row>
    <row r="6" spans="2:30" x14ac:dyDescent="0.3">
      <c r="B6" s="61">
        <v>1</v>
      </c>
      <c r="C6" s="61" t="str">
        <f>العميل!C12</f>
        <v>الفئة 1</v>
      </c>
      <c r="F6" s="101" t="s">
        <v>337</v>
      </c>
      <c r="G6" s="101" t="str">
        <f>العميل!G12</f>
        <v>LV</v>
      </c>
      <c r="H6" s="109">
        <f>العميل!K12</f>
        <v>768.02</v>
      </c>
      <c r="I6" s="109">
        <f>العميل!L12</f>
        <v>261.71198800517959</v>
      </c>
      <c r="J6" s="109">
        <f>العميل!J12</f>
        <v>176839.57453764943</v>
      </c>
      <c r="K6" s="134">
        <f t="shared" ref="K6:K36" si="0">H6*AB6</f>
        <v>0</v>
      </c>
      <c r="L6" s="134">
        <f t="shared" ref="L6:L36" si="1">I6*AC6/1000</f>
        <v>0</v>
      </c>
      <c r="M6" s="134">
        <f t="shared" ref="M6:M36" si="2">J6*AD6/10^6</f>
        <v>0</v>
      </c>
      <c r="N6" s="134">
        <f>K6+L6+M6</f>
        <v>0</v>
      </c>
      <c r="O6" s="134">
        <f>العميل!AD12</f>
        <v>211.47521511481253</v>
      </c>
      <c r="P6" s="134">
        <f>العميل!AE12</f>
        <v>7.9418337599999198</v>
      </c>
      <c r="Q6" s="134">
        <f>العميل!AF12</f>
        <v>0</v>
      </c>
      <c r="R6" s="92">
        <f>O6+P6+Q6</f>
        <v>219.41704887481245</v>
      </c>
      <c r="S6" s="107" t="str">
        <f>IFERROR(O6/K6,"--")</f>
        <v>--</v>
      </c>
      <c r="T6" s="107" t="str">
        <f t="shared" ref="T6:T37" si="3">IFERROR(P6/L6,"--")</f>
        <v>--</v>
      </c>
      <c r="U6" s="107" t="str">
        <f t="shared" ref="U6:U37" si="4">IFERROR(Q6/M6,"--")</f>
        <v>--</v>
      </c>
      <c r="V6" s="135" t="str">
        <f t="shared" ref="V6:V37" si="5">IFERROR(R6/N6,"--")</f>
        <v>--</v>
      </c>
      <c r="AB6" s="136" cm="1">
        <f t="array" ref="AB6">IFERROR(_xlfn.XLOOKUP($F6,'إعادة تخصيص الجهد'!$K$107:$K$108,_xlfn.XLOOKUP($G6,'إعادة تخصيص الجهد'!$L$106:$N$106,'إعادة تخصيص الجهد'!$L$107:$N$108)),0)</f>
        <v>0</v>
      </c>
      <c r="AC6" s="137" cm="1">
        <f t="array" ref="AC6">IFERROR(_xlfn.XLOOKUP($F6,'إعادة تخصيص الجهد'!$P$107:$P$108,_xlfn.XLOOKUP($G6,'إعادة تخصيص الجهد'!$Q$106:$S$106,'إعادة تخصيص الجهد'!$Q$107:$S$108)),0)</f>
        <v>0</v>
      </c>
      <c r="AD6" s="137" cm="1">
        <f t="array" ref="AD6">IFERROR(_xlfn.XLOOKUP($F6,'إعادة تخصيص الجهد'!$U$107:$U$108,_xlfn.XLOOKUP($G6,'إعادة تخصيص الجهد'!$V$106:$X$106,'إعادة تخصيص الجهد'!$V$107:$X$108)),0)</f>
        <v>0</v>
      </c>
    </row>
    <row r="7" spans="2:30" x14ac:dyDescent="0.3">
      <c r="B7" s="61">
        <v>2</v>
      </c>
      <c r="C7" s="61" t="str">
        <f>العميل!C13</f>
        <v>الفئة 2</v>
      </c>
      <c r="F7" s="101" t="s">
        <v>337</v>
      </c>
      <c r="G7" s="101" t="str">
        <f>العميل!G13</f>
        <v>LV</v>
      </c>
      <c r="H7" s="109">
        <f>العميل!K13</f>
        <v>44.7408</v>
      </c>
      <c r="I7" s="109">
        <f>العميل!L13</f>
        <v>12.768493150684932</v>
      </c>
      <c r="J7" s="109">
        <f>العميل!J13</f>
        <v>1712.7674844635237</v>
      </c>
      <c r="K7" s="134">
        <f t="shared" si="0"/>
        <v>0</v>
      </c>
      <c r="L7" s="134">
        <f t="shared" si="1"/>
        <v>0</v>
      </c>
      <c r="M7" s="134">
        <f t="shared" si="2"/>
        <v>0</v>
      </c>
      <c r="N7" s="134">
        <f t="shared" ref="N7:N36" si="6">K7+L7+M7</f>
        <v>0</v>
      </c>
      <c r="O7" s="134">
        <f>العميل!AD13</f>
        <v>23.064351472799984</v>
      </c>
      <c r="P7" s="134">
        <f>العميل!AE13</f>
        <v>0.56297043600001595</v>
      </c>
      <c r="Q7" s="134">
        <f>العميل!AF13</f>
        <v>0</v>
      </c>
      <c r="R7" s="92">
        <f t="shared" ref="R7:R36" si="7">O7+P7+Q7</f>
        <v>23.627321908799999</v>
      </c>
      <c r="S7" s="107" t="str">
        <f t="shared" ref="S7:S37" si="8">IFERROR(O7/K7,"--")</f>
        <v>--</v>
      </c>
      <c r="T7" s="107" t="str">
        <f t="shared" si="3"/>
        <v>--</v>
      </c>
      <c r="U7" s="107" t="str">
        <f t="shared" si="4"/>
        <v>--</v>
      </c>
      <c r="V7" s="135" t="str">
        <f t="shared" si="5"/>
        <v>--</v>
      </c>
      <c r="AB7" s="136" cm="1">
        <f t="array" ref="AB7">IFERROR(_xlfn.XLOOKUP($F7,'إعادة تخصيص الجهد'!$K$107:$K$108,_xlfn.XLOOKUP($G7,'إعادة تخصيص الجهد'!$L$106:$N$106,'إعادة تخصيص الجهد'!$L$107:$N$108)),0)</f>
        <v>0</v>
      </c>
      <c r="AC7" s="137" cm="1">
        <f t="array" ref="AC7">IFERROR(_xlfn.XLOOKUP($F7,'إعادة تخصيص الجهد'!$P$107:$P$108,_xlfn.XLOOKUP($G7,'إعادة تخصيص الجهد'!$Q$106:$S$106,'إعادة تخصيص الجهد'!$Q$107:$S$108)),0)</f>
        <v>0</v>
      </c>
      <c r="AD7" s="137" cm="1">
        <f t="array" ref="AD7">IFERROR(_xlfn.XLOOKUP($F7,'إعادة تخصيص الجهد'!$U$107:$U$108,_xlfn.XLOOKUP($G7,'إعادة تخصيص الجهد'!$V$106:$X$106,'إعادة تخصيص الجهد'!$V$107:$X$108)),0)</f>
        <v>0</v>
      </c>
    </row>
    <row r="8" spans="2:30" x14ac:dyDescent="0.3">
      <c r="B8" s="61">
        <v>3</v>
      </c>
      <c r="C8" s="61" t="str">
        <f>العميل!C14</f>
        <v>الفئة 3</v>
      </c>
      <c r="F8" s="101" t="s">
        <v>337</v>
      </c>
      <c r="G8" s="101" t="str">
        <f>العميل!G14</f>
        <v>LV</v>
      </c>
      <c r="H8" s="109">
        <f>العميل!K14</f>
        <v>1.7280000000000002</v>
      </c>
      <c r="I8" s="109">
        <f>العميل!L14</f>
        <v>0.49315068493150693</v>
      </c>
      <c r="J8" s="109">
        <f>العميل!J14</f>
        <v>655.52318865899611</v>
      </c>
      <c r="K8" s="134">
        <f t="shared" si="0"/>
        <v>0</v>
      </c>
      <c r="L8" s="134">
        <f t="shared" si="1"/>
        <v>0</v>
      </c>
      <c r="M8" s="134">
        <f t="shared" si="2"/>
        <v>0</v>
      </c>
      <c r="N8" s="134">
        <f t="shared" si="6"/>
        <v>0</v>
      </c>
      <c r="O8" s="134">
        <f>العميل!AD14</f>
        <v>0.69431661439999992</v>
      </c>
      <c r="P8" s="134">
        <f>العميل!AE14</f>
        <v>2.3056608000000121E-2</v>
      </c>
      <c r="Q8" s="134">
        <f>العميل!AF14</f>
        <v>0</v>
      </c>
      <c r="R8" s="92">
        <f t="shared" si="7"/>
        <v>0.71737322240000001</v>
      </c>
      <c r="S8" s="107" t="str">
        <f t="shared" si="8"/>
        <v>--</v>
      </c>
      <c r="T8" s="107" t="str">
        <f t="shared" si="3"/>
        <v>--</v>
      </c>
      <c r="U8" s="107" t="str">
        <f t="shared" si="4"/>
        <v>--</v>
      </c>
      <c r="V8" s="135" t="str">
        <f t="shared" si="5"/>
        <v>--</v>
      </c>
      <c r="AB8" s="136" cm="1">
        <f t="array" ref="AB8">IFERROR(_xlfn.XLOOKUP($F8,'إعادة تخصيص الجهد'!$K$107:$K$108,_xlfn.XLOOKUP($G8,'إعادة تخصيص الجهد'!$L$106:$N$106,'إعادة تخصيص الجهد'!$L$107:$N$108)),0)</f>
        <v>0</v>
      </c>
      <c r="AC8" s="137" cm="1">
        <f t="array" ref="AC8">IFERROR(_xlfn.XLOOKUP($F8,'إعادة تخصيص الجهد'!$P$107:$P$108,_xlfn.XLOOKUP($G8,'إعادة تخصيص الجهد'!$Q$106:$S$106,'إعادة تخصيص الجهد'!$Q$107:$S$108)),0)</f>
        <v>0</v>
      </c>
      <c r="AD8" s="137" cm="1">
        <f t="array" ref="AD8">IFERROR(_xlfn.XLOOKUP($F8,'إعادة تخصيص الجهد'!$U$107:$U$108,_xlfn.XLOOKUP($G8,'إعادة تخصيص الجهد'!$V$106:$X$106,'إعادة تخصيص الجهد'!$V$107:$X$108)),0)</f>
        <v>0</v>
      </c>
    </row>
    <row r="9" spans="2:30" x14ac:dyDescent="0.3">
      <c r="B9" s="61">
        <v>4</v>
      </c>
      <c r="C9" s="61" t="str">
        <f>العميل!C15</f>
        <v>الفئة 4</v>
      </c>
      <c r="F9" s="101" t="s">
        <v>337</v>
      </c>
      <c r="G9" s="101" t="str">
        <f>العميل!G15</f>
        <v>LV</v>
      </c>
      <c r="H9" s="109">
        <f>العميل!K15</f>
        <v>171.17179943713748</v>
      </c>
      <c r="I9" s="109">
        <f>العميل!L15</f>
        <v>43.422577229106409</v>
      </c>
      <c r="J9" s="109">
        <f>العميل!J15</f>
        <v>13351.377467741533</v>
      </c>
      <c r="K9" s="134">
        <f t="shared" si="0"/>
        <v>0</v>
      </c>
      <c r="L9" s="134">
        <f t="shared" si="1"/>
        <v>0</v>
      </c>
      <c r="M9" s="134">
        <f t="shared" si="2"/>
        <v>0</v>
      </c>
      <c r="N9" s="134">
        <f t="shared" si="6"/>
        <v>0</v>
      </c>
      <c r="O9" s="134">
        <f>العميل!AD15</f>
        <v>89.468985711391781</v>
      </c>
      <c r="P9" s="134">
        <f>العميل!AE15</f>
        <v>2.94592618000009</v>
      </c>
      <c r="Q9" s="134">
        <f>العميل!AF15</f>
        <v>0</v>
      </c>
      <c r="R9" s="92">
        <f t="shared" si="7"/>
        <v>92.414911891391867</v>
      </c>
      <c r="S9" s="107" t="str">
        <f t="shared" si="8"/>
        <v>--</v>
      </c>
      <c r="T9" s="107" t="str">
        <f t="shared" si="3"/>
        <v>--</v>
      </c>
      <c r="U9" s="107" t="str">
        <f t="shared" si="4"/>
        <v>--</v>
      </c>
      <c r="V9" s="135" t="str">
        <f t="shared" si="5"/>
        <v>--</v>
      </c>
      <c r="AB9" s="136" cm="1">
        <f t="array" ref="AB9">IFERROR(_xlfn.XLOOKUP($F9,'إعادة تخصيص الجهد'!$K$107:$K$108,_xlfn.XLOOKUP($G9,'إعادة تخصيص الجهد'!$L$106:$N$106,'إعادة تخصيص الجهد'!$L$107:$N$108)),0)</f>
        <v>0</v>
      </c>
      <c r="AC9" s="137" cm="1">
        <f t="array" ref="AC9">IFERROR(_xlfn.XLOOKUP($F9,'إعادة تخصيص الجهد'!$P$107:$P$108,_xlfn.XLOOKUP($G9,'إعادة تخصيص الجهد'!$Q$106:$S$106,'إعادة تخصيص الجهد'!$Q$107:$S$108)),0)</f>
        <v>0</v>
      </c>
      <c r="AD9" s="137" cm="1">
        <f t="array" ref="AD9">IFERROR(_xlfn.XLOOKUP($F9,'إعادة تخصيص الجهد'!$U$107:$U$108,_xlfn.XLOOKUP($G9,'إعادة تخصيص الجهد'!$V$106:$X$106,'إعادة تخصيص الجهد'!$V$107:$X$108)),0)</f>
        <v>0</v>
      </c>
    </row>
    <row r="10" spans="2:30" x14ac:dyDescent="0.3">
      <c r="B10" s="61">
        <v>5</v>
      </c>
      <c r="C10" s="61" t="str">
        <f>العميل!C16</f>
        <v>الفئة 5</v>
      </c>
      <c r="F10" s="101" t="s">
        <v>337</v>
      </c>
      <c r="G10" s="101" t="str">
        <f>العميل!G16</f>
        <v>LV</v>
      </c>
      <c r="H10" s="109">
        <f>العميل!K16</f>
        <v>326.84869048302801</v>
      </c>
      <c r="I10" s="109">
        <f>العميل!L16</f>
        <v>82.914431883061383</v>
      </c>
      <c r="J10" s="109">
        <f>العميل!J16</f>
        <v>1821.2282177352934</v>
      </c>
      <c r="K10" s="134">
        <f t="shared" si="0"/>
        <v>0</v>
      </c>
      <c r="L10" s="134">
        <f t="shared" si="1"/>
        <v>0</v>
      </c>
      <c r="M10" s="134">
        <f t="shared" si="2"/>
        <v>0</v>
      </c>
      <c r="N10" s="134">
        <f t="shared" si="6"/>
        <v>0</v>
      </c>
      <c r="O10" s="134">
        <f>العميل!AD16</f>
        <v>108.20891992783322</v>
      </c>
      <c r="P10" s="134">
        <f>العميل!AE16</f>
        <v>0.53920870999999704</v>
      </c>
      <c r="Q10" s="134">
        <f>العميل!AF16</f>
        <v>57.73704274</v>
      </c>
      <c r="R10" s="92">
        <f t="shared" si="7"/>
        <v>166.48517137783321</v>
      </c>
      <c r="S10" s="107" t="str">
        <f t="shared" si="8"/>
        <v>--</v>
      </c>
      <c r="T10" s="107" t="str">
        <f t="shared" si="3"/>
        <v>--</v>
      </c>
      <c r="U10" s="107" t="str">
        <f t="shared" si="4"/>
        <v>--</v>
      </c>
      <c r="V10" s="135" t="str">
        <f t="shared" si="5"/>
        <v>--</v>
      </c>
      <c r="AB10" s="136" cm="1">
        <f t="array" ref="AB10">IFERROR(_xlfn.XLOOKUP($F10,'إعادة تخصيص الجهد'!$K$107:$K$108,_xlfn.XLOOKUP($G10,'إعادة تخصيص الجهد'!$L$106:$N$106,'إعادة تخصيص الجهد'!$L$107:$N$108)),0)</f>
        <v>0</v>
      </c>
      <c r="AC10" s="137" cm="1">
        <f t="array" ref="AC10">IFERROR(_xlfn.XLOOKUP($F10,'إعادة تخصيص الجهد'!$P$107:$P$108,_xlfn.XLOOKUP($G10,'إعادة تخصيص الجهد'!$Q$106:$S$106,'إعادة تخصيص الجهد'!$Q$107:$S$108)),0)</f>
        <v>0</v>
      </c>
      <c r="AD10" s="137" cm="1">
        <f t="array" ref="AD10">IFERROR(_xlfn.XLOOKUP($F10,'إعادة تخصيص الجهد'!$U$107:$U$108,_xlfn.XLOOKUP($G10,'إعادة تخصيص الجهد'!$V$106:$X$106,'إعادة تخصيص الجهد'!$V$107:$X$108)),0)</f>
        <v>0</v>
      </c>
    </row>
    <row r="11" spans="2:30" x14ac:dyDescent="0.3">
      <c r="B11" s="61">
        <v>6</v>
      </c>
      <c r="C11" s="61" t="str">
        <f>العميل!C17</f>
        <v>الفئة 6</v>
      </c>
      <c r="F11" s="101" t="s">
        <v>337</v>
      </c>
      <c r="G11" s="101" t="str">
        <f>العميل!G17</f>
        <v>MV</v>
      </c>
      <c r="H11" s="109">
        <f>العميل!K17</f>
        <v>234.88919999999999</v>
      </c>
      <c r="I11" s="109">
        <f>العميل!L17</f>
        <v>53.627671232876708</v>
      </c>
      <c r="J11" s="109">
        <f>العميل!J17</f>
        <v>2569.1512266952855</v>
      </c>
      <c r="K11" s="134">
        <f t="shared" si="0"/>
        <v>0</v>
      </c>
      <c r="L11" s="134">
        <f t="shared" si="1"/>
        <v>0</v>
      </c>
      <c r="M11" s="134">
        <f t="shared" si="2"/>
        <v>0</v>
      </c>
      <c r="N11" s="134">
        <f t="shared" si="6"/>
        <v>0</v>
      </c>
      <c r="O11" s="134">
        <f>العميل!AD17</f>
        <v>123.19898436719997</v>
      </c>
      <c r="P11" s="134">
        <f>العميل!AE17</f>
        <v>0.84445565400002398</v>
      </c>
      <c r="Q11" s="134">
        <f>العميل!AF17</f>
        <v>0</v>
      </c>
      <c r="R11" s="92">
        <f t="shared" si="7"/>
        <v>124.0434400212</v>
      </c>
      <c r="S11" s="107" t="str">
        <f t="shared" si="8"/>
        <v>--</v>
      </c>
      <c r="T11" s="107" t="str">
        <f t="shared" si="3"/>
        <v>--</v>
      </c>
      <c r="U11" s="107" t="str">
        <f t="shared" si="4"/>
        <v>--</v>
      </c>
      <c r="V11" s="135" t="str">
        <f t="shared" si="5"/>
        <v>--</v>
      </c>
      <c r="AB11" s="136" cm="1">
        <f t="array" ref="AB11">IFERROR(_xlfn.XLOOKUP($F11,'إعادة تخصيص الجهد'!$K$107:$K$108,_xlfn.XLOOKUP($G11,'إعادة تخصيص الجهد'!$L$106:$N$106,'إعادة تخصيص الجهد'!$L$107:$N$108)),0)</f>
        <v>0</v>
      </c>
      <c r="AC11" s="137" cm="1">
        <f t="array" ref="AC11">IFERROR(_xlfn.XLOOKUP($F11,'إعادة تخصيص الجهد'!$P$107:$P$108,_xlfn.XLOOKUP($G11,'إعادة تخصيص الجهد'!$Q$106:$S$106,'إعادة تخصيص الجهد'!$Q$107:$S$108)),0)</f>
        <v>0</v>
      </c>
      <c r="AD11" s="137" cm="1">
        <f t="array" ref="AD11">IFERROR(_xlfn.XLOOKUP($F11,'إعادة تخصيص الجهد'!$U$107:$U$108,_xlfn.XLOOKUP($G11,'إعادة تخصيص الجهد'!$V$106:$X$106,'إعادة تخصيص الجهد'!$V$107:$X$108)),0)</f>
        <v>0</v>
      </c>
    </row>
    <row r="12" spans="2:30" x14ac:dyDescent="0.3">
      <c r="B12" s="61">
        <v>7</v>
      </c>
      <c r="C12" s="61" t="str">
        <f>العميل!C18</f>
        <v>الفئة 7</v>
      </c>
      <c r="F12" s="101" t="s">
        <v>337</v>
      </c>
      <c r="G12" s="101" t="str">
        <f>العميل!G18</f>
        <v>MV</v>
      </c>
      <c r="H12" s="109">
        <f>العميل!K18</f>
        <v>9.072000000000001</v>
      </c>
      <c r="I12" s="109">
        <f>العميل!L18</f>
        <v>2.0712328767123291</v>
      </c>
      <c r="J12" s="109">
        <f>العميل!J18</f>
        <v>1529.5541068709911</v>
      </c>
      <c r="K12" s="134">
        <f t="shared" si="0"/>
        <v>0</v>
      </c>
      <c r="L12" s="134">
        <f t="shared" si="1"/>
        <v>0</v>
      </c>
      <c r="M12" s="134">
        <f t="shared" si="2"/>
        <v>0</v>
      </c>
      <c r="N12" s="134">
        <f t="shared" si="6"/>
        <v>0</v>
      </c>
      <c r="O12" s="134">
        <f>العميل!AD18</f>
        <v>3.7124106655999998</v>
      </c>
      <c r="P12" s="134">
        <f>العميل!AE18</f>
        <v>5.3798752000000276E-2</v>
      </c>
      <c r="Q12" s="134">
        <f>العميل!AF18</f>
        <v>0</v>
      </c>
      <c r="R12" s="92">
        <f t="shared" si="7"/>
        <v>3.7662094175999998</v>
      </c>
      <c r="S12" s="107" t="str">
        <f t="shared" si="8"/>
        <v>--</v>
      </c>
      <c r="T12" s="107" t="str">
        <f t="shared" si="3"/>
        <v>--</v>
      </c>
      <c r="U12" s="107" t="str">
        <f t="shared" si="4"/>
        <v>--</v>
      </c>
      <c r="V12" s="135" t="str">
        <f t="shared" si="5"/>
        <v>--</v>
      </c>
      <c r="AB12" s="136" cm="1">
        <f t="array" ref="AB12">IFERROR(_xlfn.XLOOKUP($F12,'إعادة تخصيص الجهد'!$K$107:$K$108,_xlfn.XLOOKUP($G12,'إعادة تخصيص الجهد'!$L$106:$N$106,'إعادة تخصيص الجهد'!$L$107:$N$108)),0)</f>
        <v>0</v>
      </c>
      <c r="AC12" s="137" cm="1">
        <f t="array" ref="AC12">IFERROR(_xlfn.XLOOKUP($F12,'إعادة تخصيص الجهد'!$P$107:$P$108,_xlfn.XLOOKUP($G12,'إعادة تخصيص الجهد'!$Q$106:$S$106,'إعادة تخصيص الجهد'!$Q$107:$S$108)),0)</f>
        <v>0</v>
      </c>
      <c r="AD12" s="137" cm="1">
        <f t="array" ref="AD12">IFERROR(_xlfn.XLOOKUP($F12,'إعادة تخصيص الجهد'!$U$107:$U$108,_xlfn.XLOOKUP($G12,'إعادة تخصيص الجهد'!$V$106:$X$106,'إعادة تخصيص الجهد'!$V$107:$X$108)),0)</f>
        <v>0</v>
      </c>
    </row>
    <row r="13" spans="2:30" x14ac:dyDescent="0.3">
      <c r="B13" s="61">
        <v>8</v>
      </c>
      <c r="C13" s="61" t="str">
        <f>العميل!C19</f>
        <v>الفئة 8</v>
      </c>
      <c r="F13" s="101" t="s">
        <v>337</v>
      </c>
      <c r="G13" s="101" t="str">
        <f>العميل!G19</f>
        <v>MV</v>
      </c>
      <c r="H13" s="109">
        <f>العميل!K19</f>
        <v>236.57951007983462</v>
      </c>
      <c r="I13" s="109">
        <f>العميل!L19</f>
        <v>49.10326070565268</v>
      </c>
      <c r="J13" s="109">
        <f>العميل!J19</f>
        <v>128.88386951855642</v>
      </c>
      <c r="K13" s="134">
        <f t="shared" si="0"/>
        <v>0</v>
      </c>
      <c r="L13" s="134">
        <f t="shared" si="1"/>
        <v>0</v>
      </c>
      <c r="M13" s="134">
        <f t="shared" si="2"/>
        <v>0</v>
      </c>
      <c r="N13" s="134">
        <f t="shared" si="6"/>
        <v>0</v>
      </c>
      <c r="O13" s="134">
        <f>العميل!AD19</f>
        <v>68.413741435962521</v>
      </c>
      <c r="P13" s="134">
        <f>العميل!AE19</f>
        <v>3.7410230000000003E-2</v>
      </c>
      <c r="Q13" s="134">
        <f>العميل!AF19</f>
        <v>34.815405429999998</v>
      </c>
      <c r="R13" s="92">
        <f t="shared" si="7"/>
        <v>103.26655709596253</v>
      </c>
      <c r="S13" s="107" t="str">
        <f t="shared" si="8"/>
        <v>--</v>
      </c>
      <c r="T13" s="107" t="str">
        <f t="shared" si="3"/>
        <v>--</v>
      </c>
      <c r="U13" s="107" t="str">
        <f t="shared" si="4"/>
        <v>--</v>
      </c>
      <c r="V13" s="135" t="str">
        <f t="shared" si="5"/>
        <v>--</v>
      </c>
      <c r="AB13" s="136" cm="1">
        <f t="array" ref="AB13">IFERROR(_xlfn.XLOOKUP($F13,'إعادة تخصيص الجهد'!$K$107:$K$108,_xlfn.XLOOKUP($G13,'إعادة تخصيص الجهد'!$L$106:$N$106,'إعادة تخصيص الجهد'!$L$107:$N$108)),0)</f>
        <v>0</v>
      </c>
      <c r="AC13" s="137" cm="1">
        <f t="array" ref="AC13">IFERROR(_xlfn.XLOOKUP($F13,'إعادة تخصيص الجهد'!$P$107:$P$108,_xlfn.XLOOKUP($G13,'إعادة تخصيص الجهد'!$Q$106:$S$106,'إعادة تخصيص الجهد'!$Q$107:$S$108)),0)</f>
        <v>0</v>
      </c>
      <c r="AD13" s="137" cm="1">
        <f t="array" ref="AD13">IFERROR(_xlfn.XLOOKUP($F13,'إعادة تخصيص الجهد'!$U$107:$U$108,_xlfn.XLOOKUP($G13,'إعادة تخصيص الجهد'!$V$106:$X$106,'إعادة تخصيص الجهد'!$V$107:$X$108)),0)</f>
        <v>0</v>
      </c>
    </row>
    <row r="14" spans="2:30" x14ac:dyDescent="0.3">
      <c r="B14" s="61">
        <v>9</v>
      </c>
      <c r="C14" s="61" t="str">
        <f>العميل!C20</f>
        <v>الفئة 9</v>
      </c>
      <c r="F14" s="101" t="s">
        <v>337</v>
      </c>
      <c r="G14" s="101" t="str">
        <f>العميل!G20</f>
        <v>HV</v>
      </c>
      <c r="H14" s="109">
        <f>العميل!K20</f>
        <v>183.89362770408619</v>
      </c>
      <c r="I14" s="109">
        <f>العميل!L20</f>
        <v>25.600516163281853</v>
      </c>
      <c r="J14" s="109">
        <f>العميل!J20</f>
        <v>1</v>
      </c>
      <c r="K14" s="134">
        <f t="shared" si="0"/>
        <v>0</v>
      </c>
      <c r="L14" s="134">
        <f t="shared" si="1"/>
        <v>0</v>
      </c>
      <c r="M14" s="134">
        <f t="shared" si="2"/>
        <v>0</v>
      </c>
      <c r="N14" s="134">
        <f t="shared" si="6"/>
        <v>0</v>
      </c>
      <c r="O14" s="134">
        <f>العميل!AD20</f>
        <v>35.140134370000006</v>
      </c>
      <c r="P14" s="134">
        <f>العميل!AE20</f>
        <v>3.2266E-4</v>
      </c>
      <c r="Q14" s="134">
        <f>العميل!AF20</f>
        <v>18.255563679999998</v>
      </c>
      <c r="R14" s="92">
        <f t="shared" si="7"/>
        <v>53.396020710000002</v>
      </c>
      <c r="S14" s="107" t="str">
        <f t="shared" si="8"/>
        <v>--</v>
      </c>
      <c r="T14" s="107" t="str">
        <f t="shared" si="3"/>
        <v>--</v>
      </c>
      <c r="U14" s="107" t="str">
        <f t="shared" si="4"/>
        <v>--</v>
      </c>
      <c r="V14" s="135" t="str">
        <f t="shared" si="5"/>
        <v>--</v>
      </c>
      <c r="AB14" s="136" cm="1">
        <f t="array" ref="AB14">IFERROR(_xlfn.XLOOKUP($F14,'إعادة تخصيص الجهد'!$K$107:$K$108,_xlfn.XLOOKUP($G14,'إعادة تخصيص الجهد'!$L$106:$N$106,'إعادة تخصيص الجهد'!$L$107:$N$108)),0)</f>
        <v>0</v>
      </c>
      <c r="AC14" s="137" cm="1">
        <f t="array" ref="AC14">IFERROR(_xlfn.XLOOKUP($F14,'إعادة تخصيص الجهد'!$P$107:$P$108,_xlfn.XLOOKUP($G14,'إعادة تخصيص الجهد'!$Q$106:$S$106,'إعادة تخصيص الجهد'!$Q$107:$S$108)),0)</f>
        <v>0</v>
      </c>
      <c r="AD14" s="137" cm="1">
        <f t="array" ref="AD14">IFERROR(_xlfn.XLOOKUP($F14,'إعادة تخصيص الجهد'!$U$107:$U$108,_xlfn.XLOOKUP($G14,'إعادة تخصيص الجهد'!$V$106:$X$106,'إعادة تخصيص الجهد'!$V$107:$X$108)),0)</f>
        <v>0</v>
      </c>
    </row>
    <row r="15" spans="2:30" x14ac:dyDescent="0.3">
      <c r="B15" s="61">
        <v>10</v>
      </c>
      <c r="C15" s="61" t="str">
        <f>العميل!C21</f>
        <v>الفئة 10</v>
      </c>
      <c r="F15" s="101" t="s">
        <v>338</v>
      </c>
      <c r="G15" s="101" t="str">
        <f>العميل!G21</f>
        <v>HV</v>
      </c>
      <c r="H15" s="109">
        <f>العميل!K21</f>
        <v>10.989021632689397</v>
      </c>
      <c r="I15" s="109">
        <f>العميل!L21</f>
        <v>1.5298225905848923</v>
      </c>
      <c r="J15" s="109">
        <f>العميل!J21</f>
        <v>1</v>
      </c>
      <c r="K15" s="134">
        <f t="shared" si="0"/>
        <v>0</v>
      </c>
      <c r="L15" s="134">
        <f t="shared" si="1"/>
        <v>0</v>
      </c>
      <c r="M15" s="134">
        <f t="shared" si="2"/>
        <v>0</v>
      </c>
      <c r="N15" s="134">
        <f t="shared" si="6"/>
        <v>0</v>
      </c>
      <c r="O15" s="134">
        <f>العميل!AD21</f>
        <v>2.1130684099999999</v>
      </c>
      <c r="P15" s="134">
        <f>العميل!AE21</f>
        <v>3.2266E-4</v>
      </c>
      <c r="Q15" s="134">
        <f>العميل!AF21</f>
        <v>0.39679759999999997</v>
      </c>
      <c r="R15" s="92">
        <f t="shared" si="7"/>
        <v>2.5101886699999998</v>
      </c>
      <c r="S15" s="107" t="str">
        <f t="shared" si="8"/>
        <v>--</v>
      </c>
      <c r="T15" s="107" t="str">
        <f t="shared" si="3"/>
        <v>--</v>
      </c>
      <c r="U15" s="107" t="str">
        <f t="shared" si="4"/>
        <v>--</v>
      </c>
      <c r="V15" s="135" t="str">
        <f t="shared" si="5"/>
        <v>--</v>
      </c>
      <c r="AB15" s="136" cm="1">
        <f t="array" ref="AB15">IFERROR(_xlfn.XLOOKUP($F15,'إعادة تخصيص الجهد'!$K$107:$K$108,_xlfn.XLOOKUP($G15,'إعادة تخصيص الجهد'!$L$106:$N$106,'إعادة تخصيص الجهد'!$L$107:$N$108)),0)</f>
        <v>0</v>
      </c>
      <c r="AC15" s="137" cm="1">
        <f t="array" ref="AC15">IFERROR(_xlfn.XLOOKUP($F15,'إعادة تخصيص الجهد'!$P$107:$P$108,_xlfn.XLOOKUP($G15,'إعادة تخصيص الجهد'!$Q$106:$S$106,'إعادة تخصيص الجهد'!$Q$107:$S$108)),0)</f>
        <v>0</v>
      </c>
      <c r="AD15" s="137" cm="1">
        <f t="array" ref="AD15">IFERROR(_xlfn.XLOOKUP($F15,'إعادة تخصيص الجهد'!$U$107:$U$108,_xlfn.XLOOKUP($G15,'إعادة تخصيص الجهد'!$V$106:$X$106,'إعادة تخصيص الجهد'!$V$107:$X$108)),0)</f>
        <v>0</v>
      </c>
    </row>
    <row r="16" spans="2:30" x14ac:dyDescent="0.3">
      <c r="B16" s="61">
        <v>11</v>
      </c>
      <c r="C16" s="61" t="str">
        <f>العميل!C22</f>
        <v>الفئة 11</v>
      </c>
      <c r="F16" s="101" t="s">
        <v>337</v>
      </c>
      <c r="G16" s="101" t="str">
        <f>العميل!G22</f>
        <v>HV</v>
      </c>
      <c r="H16" s="109">
        <f>العميل!K22</f>
        <v>447.04019941244547</v>
      </c>
      <c r="I16" s="109">
        <f>العميل!L22</f>
        <v>62.234129554021258</v>
      </c>
      <c r="J16" s="109">
        <f>العميل!J22</f>
        <v>1</v>
      </c>
      <c r="K16" s="134">
        <f t="shared" si="0"/>
        <v>0</v>
      </c>
      <c r="L16" s="134">
        <f t="shared" si="1"/>
        <v>0</v>
      </c>
      <c r="M16" s="134">
        <f t="shared" si="2"/>
        <v>0</v>
      </c>
      <c r="N16" s="134">
        <f t="shared" si="6"/>
        <v>0</v>
      </c>
      <c r="O16" s="134">
        <f>العميل!AD22</f>
        <v>85.962127699999996</v>
      </c>
      <c r="P16" s="134">
        <f>العميل!AE22</f>
        <v>3.2266E-4</v>
      </c>
      <c r="Q16" s="134">
        <f>العميل!AF22</f>
        <v>34.794530000000002</v>
      </c>
      <c r="R16" s="92">
        <f t="shared" si="7"/>
        <v>120.75698036</v>
      </c>
      <c r="S16" s="107" t="str">
        <f t="shared" si="8"/>
        <v>--</v>
      </c>
      <c r="T16" s="107" t="str">
        <f t="shared" si="3"/>
        <v>--</v>
      </c>
      <c r="U16" s="107" t="str">
        <f t="shared" si="4"/>
        <v>--</v>
      </c>
      <c r="V16" s="135" t="str">
        <f t="shared" si="5"/>
        <v>--</v>
      </c>
      <c r="AB16" s="136" cm="1">
        <f t="array" ref="AB16">IFERROR(_xlfn.XLOOKUP($F16,'إعادة تخصيص الجهد'!$K$107:$K$108,_xlfn.XLOOKUP($G16,'إعادة تخصيص الجهد'!$L$106:$N$106,'إعادة تخصيص الجهد'!$L$107:$N$108)),0)</f>
        <v>0</v>
      </c>
      <c r="AC16" s="137" cm="1">
        <f t="array" ref="AC16">IFERROR(_xlfn.XLOOKUP($F16,'إعادة تخصيص الجهد'!$P$107:$P$108,_xlfn.XLOOKUP($G16,'إعادة تخصيص الجهد'!$Q$106:$S$106,'إعادة تخصيص الجهد'!$Q$107:$S$108)),0)</f>
        <v>0</v>
      </c>
      <c r="AD16" s="137" cm="1">
        <f t="array" ref="AD16">IFERROR(_xlfn.XLOOKUP($F16,'إعادة تخصيص الجهد'!$U$107:$U$108,_xlfn.XLOOKUP($G16,'إعادة تخصيص الجهد'!$V$106:$X$106,'إعادة تخصيص الجهد'!$V$107:$X$108)),0)</f>
        <v>0</v>
      </c>
    </row>
    <row r="17" spans="2:30" x14ac:dyDescent="0.3">
      <c r="B17" s="61">
        <v>12</v>
      </c>
      <c r="C17" s="61" t="str">
        <f>العميل!C23</f>
        <v>الفئة 12</v>
      </c>
      <c r="F17" s="101" t="s">
        <v>338</v>
      </c>
      <c r="G17" s="101" t="str">
        <f>العميل!G23</f>
        <v>HV</v>
      </c>
      <c r="H17" s="109">
        <f>العميل!K23</f>
        <v>18.248375322709872</v>
      </c>
      <c r="I17" s="109">
        <f>العميل!L23</f>
        <v>2.540424229133238</v>
      </c>
      <c r="J17" s="109">
        <f>العميل!J23</f>
        <v>1</v>
      </c>
      <c r="K17" s="134">
        <f t="shared" si="0"/>
        <v>0</v>
      </c>
      <c r="L17" s="134">
        <f t="shared" si="1"/>
        <v>0</v>
      </c>
      <c r="M17" s="134">
        <f t="shared" si="2"/>
        <v>0</v>
      </c>
      <c r="N17" s="134">
        <f t="shared" si="6"/>
        <v>0</v>
      </c>
      <c r="O17" s="134">
        <f>العميل!AD23</f>
        <v>4.9610360799999995</v>
      </c>
      <c r="P17" s="134">
        <f>العميل!AE23</f>
        <v>3.1443999999999998E-4</v>
      </c>
      <c r="Q17" s="134">
        <f>العميل!AF23</f>
        <v>0</v>
      </c>
      <c r="R17" s="92">
        <f t="shared" si="7"/>
        <v>4.9613505199999999</v>
      </c>
      <c r="S17" s="107" t="str">
        <f t="shared" si="8"/>
        <v>--</v>
      </c>
      <c r="T17" s="107" t="str">
        <f t="shared" si="3"/>
        <v>--</v>
      </c>
      <c r="U17" s="107" t="str">
        <f t="shared" si="4"/>
        <v>--</v>
      </c>
      <c r="V17" s="135" t="str">
        <f t="shared" si="5"/>
        <v>--</v>
      </c>
      <c r="AB17" s="136" cm="1">
        <f t="array" ref="AB17">IFERROR(_xlfn.XLOOKUP($F17,'إعادة تخصيص الجهد'!$K$107:$K$108,_xlfn.XLOOKUP($G17,'إعادة تخصيص الجهد'!$L$106:$N$106,'إعادة تخصيص الجهد'!$L$107:$N$108)),0)</f>
        <v>0</v>
      </c>
      <c r="AC17" s="137" cm="1">
        <f t="array" ref="AC17">IFERROR(_xlfn.XLOOKUP($F17,'إعادة تخصيص الجهد'!$P$107:$P$108,_xlfn.XLOOKUP($G17,'إعادة تخصيص الجهد'!$Q$106:$S$106,'إعادة تخصيص الجهد'!$Q$107:$S$108)),0)</f>
        <v>0</v>
      </c>
      <c r="AD17" s="137" cm="1">
        <f t="array" ref="AD17">IFERROR(_xlfn.XLOOKUP($F17,'إعادة تخصيص الجهد'!$U$107:$U$108,_xlfn.XLOOKUP($G17,'إعادة تخصيص الجهد'!$V$106:$X$106,'إعادة تخصيص الجهد'!$V$107:$X$108)),0)</f>
        <v>0</v>
      </c>
    </row>
    <row r="18" spans="2:30" x14ac:dyDescent="0.3">
      <c r="B18" s="61">
        <v>13</v>
      </c>
      <c r="C18" s="61" t="str">
        <f>العميل!C24</f>
        <v>الفئة 13</v>
      </c>
      <c r="F18" s="101" t="s">
        <v>337</v>
      </c>
      <c r="G18" s="101" t="str">
        <f>العميل!G24</f>
        <v>MV</v>
      </c>
      <c r="H18" s="109">
        <f>العميل!K24</f>
        <v>39.896447965815007</v>
      </c>
      <c r="I18" s="109">
        <f>العميل!L24</f>
        <v>5.5541329721871886</v>
      </c>
      <c r="J18" s="109">
        <f>العميل!J24</f>
        <v>1</v>
      </c>
      <c r="K18" s="134">
        <f t="shared" si="0"/>
        <v>0</v>
      </c>
      <c r="L18" s="134">
        <f t="shared" si="1"/>
        <v>0</v>
      </c>
      <c r="M18" s="134">
        <f t="shared" si="2"/>
        <v>0</v>
      </c>
      <c r="N18" s="134">
        <f t="shared" si="6"/>
        <v>0</v>
      </c>
      <c r="O18" s="134">
        <f>العميل!AD24</f>
        <v>7.6681223999999997</v>
      </c>
      <c r="P18" s="134">
        <f>العميل!AE24</f>
        <v>3.2414999999999999E-4</v>
      </c>
      <c r="Q18" s="134">
        <f>العميل!AF24</f>
        <v>3.2576339999999999</v>
      </c>
      <c r="R18" s="92">
        <f t="shared" si="7"/>
        <v>10.92608055</v>
      </c>
      <c r="S18" s="107" t="str">
        <f t="shared" si="8"/>
        <v>--</v>
      </c>
      <c r="T18" s="107" t="str">
        <f t="shared" si="3"/>
        <v>--</v>
      </c>
      <c r="U18" s="107" t="str">
        <f t="shared" si="4"/>
        <v>--</v>
      </c>
      <c r="V18" s="135" t="str">
        <f t="shared" si="5"/>
        <v>--</v>
      </c>
      <c r="AB18" s="136" cm="1">
        <f t="array" ref="AB18">IFERROR(_xlfn.XLOOKUP($F18,'إعادة تخصيص الجهد'!$K$107:$K$108,_xlfn.XLOOKUP($G18,'إعادة تخصيص الجهد'!$L$106:$N$106,'إعادة تخصيص الجهد'!$L$107:$N$108)),0)</f>
        <v>0</v>
      </c>
      <c r="AC18" s="137" cm="1">
        <f t="array" ref="AC18">IFERROR(_xlfn.XLOOKUP($F18,'إعادة تخصيص الجهد'!$P$107:$P$108,_xlfn.XLOOKUP($G18,'إعادة تخصيص الجهد'!$Q$106:$S$106,'إعادة تخصيص الجهد'!$Q$107:$S$108)),0)</f>
        <v>0</v>
      </c>
      <c r="AD18" s="137" cm="1">
        <f t="array" ref="AD18">IFERROR(_xlfn.XLOOKUP($F18,'إعادة تخصيص الجهد'!$U$107:$U$108,_xlfn.XLOOKUP($G18,'إعادة تخصيص الجهد'!$V$106:$X$106,'إعادة تخصيص الجهد'!$V$107:$X$108)),0)</f>
        <v>0</v>
      </c>
    </row>
    <row r="19" spans="2:30" x14ac:dyDescent="0.3">
      <c r="B19" s="61">
        <v>14</v>
      </c>
      <c r="C19" s="61" t="str">
        <f>العميل!C25</f>
        <v>الفئة 14</v>
      </c>
      <c r="F19" s="101" t="s">
        <v>338</v>
      </c>
      <c r="G19" s="101" t="str">
        <f>العميل!G25</f>
        <v>HV</v>
      </c>
      <c r="H19" s="109">
        <f>العميل!K25</f>
        <v>152.13645508768806</v>
      </c>
      <c r="I19" s="109">
        <f>العميل!L25</f>
        <v>21.1794819979519</v>
      </c>
      <c r="J19" s="109">
        <f>العميل!J25</f>
        <v>1</v>
      </c>
      <c r="K19" s="134">
        <f t="shared" si="0"/>
        <v>0</v>
      </c>
      <c r="L19" s="134">
        <f t="shared" si="1"/>
        <v>0</v>
      </c>
      <c r="M19" s="134">
        <f t="shared" si="2"/>
        <v>0</v>
      </c>
      <c r="N19" s="134">
        <f t="shared" si="6"/>
        <v>0</v>
      </c>
      <c r="O19" s="134">
        <f>العميل!AD25</f>
        <v>29.210681530000002</v>
      </c>
      <c r="P19" s="134">
        <f>العميل!AE25</f>
        <v>3.2372999999999999E-4</v>
      </c>
      <c r="Q19" s="134">
        <f>العميل!AF25</f>
        <v>13.45935791</v>
      </c>
      <c r="R19" s="92">
        <f t="shared" si="7"/>
        <v>42.670363170000002</v>
      </c>
      <c r="S19" s="107" t="str">
        <f t="shared" si="8"/>
        <v>--</v>
      </c>
      <c r="T19" s="107" t="str">
        <f t="shared" si="3"/>
        <v>--</v>
      </c>
      <c r="U19" s="107" t="str">
        <f t="shared" si="4"/>
        <v>--</v>
      </c>
      <c r="V19" s="135" t="str">
        <f t="shared" si="5"/>
        <v>--</v>
      </c>
      <c r="AB19" s="136" cm="1">
        <f t="array" ref="AB19">IFERROR(_xlfn.XLOOKUP($F19,'إعادة تخصيص الجهد'!$K$107:$K$108,_xlfn.XLOOKUP($G19,'إعادة تخصيص الجهد'!$L$106:$N$106,'إعادة تخصيص الجهد'!$L$107:$N$108)),0)</f>
        <v>0</v>
      </c>
      <c r="AC19" s="137" cm="1">
        <f t="array" ref="AC19">IFERROR(_xlfn.XLOOKUP($F19,'إعادة تخصيص الجهد'!$P$107:$P$108,_xlfn.XLOOKUP($G19,'إعادة تخصيص الجهد'!$Q$106:$S$106,'إعادة تخصيص الجهد'!$Q$107:$S$108)),0)</f>
        <v>0</v>
      </c>
      <c r="AD19" s="137" cm="1">
        <f t="array" ref="AD19">IFERROR(_xlfn.XLOOKUP($F19,'إعادة تخصيص الجهد'!$U$107:$U$108,_xlfn.XLOOKUP($G19,'إعادة تخصيص الجهد'!$V$106:$X$106,'إعادة تخصيص الجهد'!$V$107:$X$108)),0)</f>
        <v>0</v>
      </c>
    </row>
    <row r="20" spans="2:30" x14ac:dyDescent="0.3">
      <c r="B20" s="61">
        <v>15</v>
      </c>
      <c r="C20" s="61" t="str">
        <f>العميل!C26</f>
        <v>الفئة 15</v>
      </c>
      <c r="F20" s="101" t="s">
        <v>337</v>
      </c>
      <c r="G20" s="101" t="str">
        <f>العميل!G26</f>
        <v>HV</v>
      </c>
      <c r="H20" s="109">
        <f>العميل!K26</f>
        <v>270.99587287456603</v>
      </c>
      <c r="I20" s="109">
        <f>العميل!L26</f>
        <v>37.72634381258576</v>
      </c>
      <c r="J20" s="109">
        <f>العميل!J26</f>
        <v>1</v>
      </c>
      <c r="K20" s="134">
        <f t="shared" si="0"/>
        <v>0</v>
      </c>
      <c r="L20" s="134">
        <f t="shared" si="1"/>
        <v>0</v>
      </c>
      <c r="M20" s="134">
        <f t="shared" si="2"/>
        <v>0</v>
      </c>
      <c r="N20" s="134">
        <f t="shared" si="6"/>
        <v>0</v>
      </c>
      <c r="O20" s="134">
        <f>العميل!AD26</f>
        <v>51.759134619999998</v>
      </c>
      <c r="P20" s="134">
        <f>العميل!AE26</f>
        <v>3.2245E-4</v>
      </c>
      <c r="Q20" s="134">
        <f>العميل!AF26</f>
        <v>25.606525140000002</v>
      </c>
      <c r="R20" s="92">
        <f t="shared" si="7"/>
        <v>77.365982209999999</v>
      </c>
      <c r="S20" s="107" t="str">
        <f t="shared" si="8"/>
        <v>--</v>
      </c>
      <c r="T20" s="107" t="str">
        <f t="shared" si="3"/>
        <v>--</v>
      </c>
      <c r="U20" s="107" t="str">
        <f t="shared" si="4"/>
        <v>--</v>
      </c>
      <c r="V20" s="135" t="str">
        <f t="shared" si="5"/>
        <v>--</v>
      </c>
      <c r="AB20" s="136" cm="1">
        <f t="array" ref="AB20">IFERROR(_xlfn.XLOOKUP($F20,'إعادة تخصيص الجهد'!$K$107:$K$108,_xlfn.XLOOKUP($G20,'إعادة تخصيص الجهد'!$L$106:$N$106,'إعادة تخصيص الجهد'!$L$107:$N$108)),0)</f>
        <v>0</v>
      </c>
      <c r="AC20" s="137" cm="1">
        <f t="array" ref="AC20">IFERROR(_xlfn.XLOOKUP($F20,'إعادة تخصيص الجهد'!$P$107:$P$108,_xlfn.XLOOKUP($G20,'إعادة تخصيص الجهد'!$Q$106:$S$106,'إعادة تخصيص الجهد'!$Q$107:$S$108)),0)</f>
        <v>0</v>
      </c>
      <c r="AD20" s="137" cm="1">
        <f t="array" ref="AD20">IFERROR(_xlfn.XLOOKUP($F20,'إعادة تخصيص الجهد'!$U$107:$U$108,_xlfn.XLOOKUP($G20,'إعادة تخصيص الجهد'!$V$106:$X$106,'إعادة تخصيص الجهد'!$V$107:$X$108)),0)</f>
        <v>0</v>
      </c>
    </row>
    <row r="21" spans="2:30" x14ac:dyDescent="0.3">
      <c r="B21" s="61">
        <v>16</v>
      </c>
      <c r="C21" s="61" t="str">
        <f>العميل!C27</f>
        <v>الفئة 16</v>
      </c>
      <c r="F21" s="101">
        <f>العميل!F27</f>
        <v>0</v>
      </c>
      <c r="G21" s="101">
        <f>العميل!G27</f>
        <v>0</v>
      </c>
      <c r="H21" s="109">
        <f>العميل!K27</f>
        <v>0</v>
      </c>
      <c r="I21" s="109">
        <f>العميل!L27</f>
        <v>0</v>
      </c>
      <c r="J21" s="109">
        <f>العميل!J27</f>
        <v>0</v>
      </c>
      <c r="K21" s="134">
        <f t="shared" si="0"/>
        <v>0</v>
      </c>
      <c r="L21" s="134">
        <f t="shared" si="1"/>
        <v>0</v>
      </c>
      <c r="M21" s="134">
        <f t="shared" si="2"/>
        <v>0</v>
      </c>
      <c r="N21" s="134">
        <f t="shared" si="6"/>
        <v>0</v>
      </c>
      <c r="O21" s="134">
        <f>العميل!AD27</f>
        <v>0</v>
      </c>
      <c r="P21" s="134">
        <f>العميل!AE27</f>
        <v>0</v>
      </c>
      <c r="Q21" s="134">
        <f>العميل!AF27</f>
        <v>0</v>
      </c>
      <c r="R21" s="92">
        <f t="shared" si="7"/>
        <v>0</v>
      </c>
      <c r="S21" s="107" t="str">
        <f t="shared" si="8"/>
        <v>--</v>
      </c>
      <c r="T21" s="107" t="str">
        <f t="shared" si="3"/>
        <v>--</v>
      </c>
      <c r="U21" s="107" t="str">
        <f t="shared" si="4"/>
        <v>--</v>
      </c>
      <c r="V21" s="135" t="str">
        <f t="shared" si="5"/>
        <v>--</v>
      </c>
      <c r="AB21" s="136" cm="1">
        <f t="array" ref="AB21">IFERROR(_xlfn.XLOOKUP($F21,'إعادة تخصيص الجهد'!$K$107:$K$108,_xlfn.XLOOKUP($G21,'إعادة تخصيص الجهد'!$L$106:$N$106,'إعادة تخصيص الجهد'!$L$107:$N$108)),0)</f>
        <v>0</v>
      </c>
      <c r="AC21" s="137" cm="1">
        <f t="array" ref="AC21">IFERROR(_xlfn.XLOOKUP($F21,'إعادة تخصيص الجهد'!$P$107:$P$108,_xlfn.XLOOKUP($G21,'إعادة تخصيص الجهد'!$Q$106:$S$106,'إعادة تخصيص الجهد'!$Q$107:$S$108)),0)</f>
        <v>0</v>
      </c>
      <c r="AD21" s="137" cm="1">
        <f t="array" ref="AD21">IFERROR(_xlfn.XLOOKUP($F21,'إعادة تخصيص الجهد'!$U$107:$U$108,_xlfn.XLOOKUP($G21,'إعادة تخصيص الجهد'!$V$106:$X$106,'إعادة تخصيص الجهد'!$V$107:$X$108)),0)</f>
        <v>0</v>
      </c>
    </row>
    <row r="22" spans="2:30" x14ac:dyDescent="0.3">
      <c r="B22" s="61">
        <v>17</v>
      </c>
      <c r="C22" s="61" t="str">
        <f>العميل!C28</f>
        <v>الفئة 17</v>
      </c>
      <c r="F22" s="101">
        <f>العميل!F28</f>
        <v>0</v>
      </c>
      <c r="G22" s="101">
        <f>العميل!G28</f>
        <v>0</v>
      </c>
      <c r="H22" s="109">
        <f>العميل!K28</f>
        <v>0</v>
      </c>
      <c r="I22" s="109">
        <f>العميل!L28</f>
        <v>0</v>
      </c>
      <c r="J22" s="109">
        <f>العميل!J28</f>
        <v>0</v>
      </c>
      <c r="K22" s="134">
        <f t="shared" si="0"/>
        <v>0</v>
      </c>
      <c r="L22" s="134">
        <f t="shared" si="1"/>
        <v>0</v>
      </c>
      <c r="M22" s="134">
        <f t="shared" si="2"/>
        <v>0</v>
      </c>
      <c r="N22" s="134">
        <f t="shared" si="6"/>
        <v>0</v>
      </c>
      <c r="O22" s="134">
        <f>العميل!AD28</f>
        <v>0</v>
      </c>
      <c r="P22" s="134">
        <f>العميل!AE28</f>
        <v>0</v>
      </c>
      <c r="Q22" s="134">
        <f>العميل!AF28</f>
        <v>0</v>
      </c>
      <c r="R22" s="92">
        <f t="shared" si="7"/>
        <v>0</v>
      </c>
      <c r="S22" s="107" t="str">
        <f t="shared" si="8"/>
        <v>--</v>
      </c>
      <c r="T22" s="107" t="str">
        <f t="shared" si="3"/>
        <v>--</v>
      </c>
      <c r="U22" s="107" t="str">
        <f t="shared" si="4"/>
        <v>--</v>
      </c>
      <c r="V22" s="135" t="str">
        <f t="shared" si="5"/>
        <v>--</v>
      </c>
      <c r="AB22" s="136" cm="1">
        <f t="array" ref="AB22">IFERROR(_xlfn.XLOOKUP($F22,'إعادة تخصيص الجهد'!$K$107:$K$108,_xlfn.XLOOKUP($G22,'إعادة تخصيص الجهد'!$L$106:$N$106,'إعادة تخصيص الجهد'!$L$107:$N$108)),0)</f>
        <v>0</v>
      </c>
      <c r="AC22" s="137" cm="1">
        <f t="array" ref="AC22">IFERROR(_xlfn.XLOOKUP($F22,'إعادة تخصيص الجهد'!$P$107:$P$108,_xlfn.XLOOKUP($G22,'إعادة تخصيص الجهد'!$Q$106:$S$106,'إعادة تخصيص الجهد'!$Q$107:$S$108)),0)</f>
        <v>0</v>
      </c>
      <c r="AD22" s="137" cm="1">
        <f t="array" ref="AD22">IFERROR(_xlfn.XLOOKUP($F22,'إعادة تخصيص الجهد'!$U$107:$U$108,_xlfn.XLOOKUP($G22,'إعادة تخصيص الجهد'!$V$106:$X$106,'إعادة تخصيص الجهد'!$V$107:$X$108)),0)</f>
        <v>0</v>
      </c>
    </row>
    <row r="23" spans="2:30" x14ac:dyDescent="0.3">
      <c r="B23" s="61">
        <v>18</v>
      </c>
      <c r="C23" s="61" t="str">
        <f>العميل!C29</f>
        <v>الفئة 18</v>
      </c>
      <c r="F23" s="101">
        <f>العميل!F29</f>
        <v>0</v>
      </c>
      <c r="G23" s="101">
        <f>العميل!G29</f>
        <v>0</v>
      </c>
      <c r="H23" s="109">
        <f>العميل!K29</f>
        <v>0</v>
      </c>
      <c r="I23" s="109">
        <f>العميل!L29</f>
        <v>0</v>
      </c>
      <c r="J23" s="109">
        <f>العميل!J29</f>
        <v>0</v>
      </c>
      <c r="K23" s="134">
        <f t="shared" si="0"/>
        <v>0</v>
      </c>
      <c r="L23" s="134">
        <f t="shared" si="1"/>
        <v>0</v>
      </c>
      <c r="M23" s="134">
        <f t="shared" si="2"/>
        <v>0</v>
      </c>
      <c r="N23" s="134">
        <f t="shared" si="6"/>
        <v>0</v>
      </c>
      <c r="O23" s="134">
        <f>العميل!AD29</f>
        <v>0</v>
      </c>
      <c r="P23" s="134">
        <f>العميل!AE29</f>
        <v>0</v>
      </c>
      <c r="Q23" s="134">
        <f>العميل!AF29</f>
        <v>0</v>
      </c>
      <c r="R23" s="92">
        <f t="shared" si="7"/>
        <v>0</v>
      </c>
      <c r="S23" s="107" t="str">
        <f t="shared" si="8"/>
        <v>--</v>
      </c>
      <c r="T23" s="107" t="str">
        <f t="shared" si="3"/>
        <v>--</v>
      </c>
      <c r="U23" s="107" t="str">
        <f t="shared" si="4"/>
        <v>--</v>
      </c>
      <c r="V23" s="135" t="str">
        <f t="shared" si="5"/>
        <v>--</v>
      </c>
      <c r="AB23" s="136" cm="1">
        <f t="array" ref="AB23">IFERROR(_xlfn.XLOOKUP($F23,'إعادة تخصيص الجهد'!$K$107:$K$108,_xlfn.XLOOKUP($G23,'إعادة تخصيص الجهد'!$L$106:$N$106,'إعادة تخصيص الجهد'!$L$107:$N$108)),0)</f>
        <v>0</v>
      </c>
      <c r="AC23" s="137" cm="1">
        <f t="array" ref="AC23">IFERROR(_xlfn.XLOOKUP($F23,'إعادة تخصيص الجهد'!$P$107:$P$108,_xlfn.XLOOKUP($G23,'إعادة تخصيص الجهد'!$Q$106:$S$106,'إعادة تخصيص الجهد'!$Q$107:$S$108)),0)</f>
        <v>0</v>
      </c>
      <c r="AD23" s="137" cm="1">
        <f t="array" ref="AD23">IFERROR(_xlfn.XLOOKUP($F23,'إعادة تخصيص الجهد'!$U$107:$U$108,_xlfn.XLOOKUP($G23,'إعادة تخصيص الجهد'!$V$106:$X$106,'إعادة تخصيص الجهد'!$V$107:$X$108)),0)</f>
        <v>0</v>
      </c>
    </row>
    <row r="24" spans="2:30" x14ac:dyDescent="0.3">
      <c r="B24" s="61">
        <v>19</v>
      </c>
      <c r="C24" s="61" t="str">
        <f>العميل!C30</f>
        <v>الفئة 19</v>
      </c>
      <c r="F24" s="101">
        <f>العميل!F30</f>
        <v>0</v>
      </c>
      <c r="G24" s="101">
        <f>العميل!G30</f>
        <v>0</v>
      </c>
      <c r="H24" s="109">
        <f>العميل!K30</f>
        <v>0</v>
      </c>
      <c r="I24" s="109">
        <f>العميل!L30</f>
        <v>0</v>
      </c>
      <c r="J24" s="109">
        <f>العميل!J30</f>
        <v>0</v>
      </c>
      <c r="K24" s="134">
        <f t="shared" si="0"/>
        <v>0</v>
      </c>
      <c r="L24" s="134">
        <f t="shared" si="1"/>
        <v>0</v>
      </c>
      <c r="M24" s="134">
        <f t="shared" si="2"/>
        <v>0</v>
      </c>
      <c r="N24" s="134">
        <f t="shared" si="6"/>
        <v>0</v>
      </c>
      <c r="O24" s="134">
        <f>العميل!AD30</f>
        <v>0</v>
      </c>
      <c r="P24" s="134">
        <f>العميل!AE30</f>
        <v>0</v>
      </c>
      <c r="Q24" s="134">
        <f>العميل!AF30</f>
        <v>0</v>
      </c>
      <c r="R24" s="92">
        <f t="shared" si="7"/>
        <v>0</v>
      </c>
      <c r="S24" s="107" t="str">
        <f t="shared" si="8"/>
        <v>--</v>
      </c>
      <c r="T24" s="107" t="str">
        <f t="shared" si="3"/>
        <v>--</v>
      </c>
      <c r="U24" s="107" t="str">
        <f t="shared" si="4"/>
        <v>--</v>
      </c>
      <c r="V24" s="135" t="str">
        <f t="shared" si="5"/>
        <v>--</v>
      </c>
      <c r="AB24" s="136" cm="1">
        <f t="array" ref="AB24">IFERROR(_xlfn.XLOOKUP($F24,'إعادة تخصيص الجهد'!$K$107:$K$108,_xlfn.XLOOKUP($G24,'إعادة تخصيص الجهد'!$L$106:$N$106,'إعادة تخصيص الجهد'!$L$107:$N$108)),0)</f>
        <v>0</v>
      </c>
      <c r="AC24" s="137" cm="1">
        <f t="array" ref="AC24">IFERROR(_xlfn.XLOOKUP($F24,'إعادة تخصيص الجهد'!$P$107:$P$108,_xlfn.XLOOKUP($G24,'إعادة تخصيص الجهد'!$Q$106:$S$106,'إعادة تخصيص الجهد'!$Q$107:$S$108)),0)</f>
        <v>0</v>
      </c>
      <c r="AD24" s="137" cm="1">
        <f t="array" ref="AD24">IFERROR(_xlfn.XLOOKUP($F24,'إعادة تخصيص الجهد'!$U$107:$U$108,_xlfn.XLOOKUP($G24,'إعادة تخصيص الجهد'!$V$106:$X$106,'إعادة تخصيص الجهد'!$V$107:$X$108)),0)</f>
        <v>0</v>
      </c>
    </row>
    <row r="25" spans="2:30" x14ac:dyDescent="0.3">
      <c r="B25" s="61">
        <v>20</v>
      </c>
      <c r="C25" s="61" t="str">
        <f>العميل!C31</f>
        <v>الفئة 20</v>
      </c>
      <c r="F25" s="101">
        <f>العميل!F31</f>
        <v>0</v>
      </c>
      <c r="G25" s="101">
        <f>العميل!G31</f>
        <v>0</v>
      </c>
      <c r="H25" s="109">
        <f>العميل!K31</f>
        <v>0</v>
      </c>
      <c r="I25" s="109">
        <f>العميل!L31</f>
        <v>0</v>
      </c>
      <c r="J25" s="109">
        <f>العميل!J31</f>
        <v>0</v>
      </c>
      <c r="K25" s="134">
        <f t="shared" si="0"/>
        <v>0</v>
      </c>
      <c r="L25" s="134">
        <f t="shared" si="1"/>
        <v>0</v>
      </c>
      <c r="M25" s="134">
        <f t="shared" si="2"/>
        <v>0</v>
      </c>
      <c r="N25" s="134">
        <f t="shared" si="6"/>
        <v>0</v>
      </c>
      <c r="O25" s="134">
        <f>العميل!AD31</f>
        <v>0</v>
      </c>
      <c r="P25" s="134">
        <f>العميل!AE31</f>
        <v>0</v>
      </c>
      <c r="Q25" s="134">
        <f>العميل!AF31</f>
        <v>0</v>
      </c>
      <c r="R25" s="92">
        <f t="shared" si="7"/>
        <v>0</v>
      </c>
      <c r="S25" s="107" t="str">
        <f t="shared" si="8"/>
        <v>--</v>
      </c>
      <c r="T25" s="107" t="str">
        <f t="shared" si="3"/>
        <v>--</v>
      </c>
      <c r="U25" s="107" t="str">
        <f t="shared" si="4"/>
        <v>--</v>
      </c>
      <c r="V25" s="135" t="str">
        <f t="shared" si="5"/>
        <v>--</v>
      </c>
      <c r="AB25" s="136" cm="1">
        <f t="array" ref="AB25">IFERROR(_xlfn.XLOOKUP($F25,'إعادة تخصيص الجهد'!$K$107:$K$108,_xlfn.XLOOKUP($G25,'إعادة تخصيص الجهد'!$L$106:$N$106,'إعادة تخصيص الجهد'!$L$107:$N$108)),0)</f>
        <v>0</v>
      </c>
      <c r="AC25" s="137" cm="1">
        <f t="array" ref="AC25">IFERROR(_xlfn.XLOOKUP($F25,'إعادة تخصيص الجهد'!$P$107:$P$108,_xlfn.XLOOKUP($G25,'إعادة تخصيص الجهد'!$Q$106:$S$106,'إعادة تخصيص الجهد'!$Q$107:$S$108)),0)</f>
        <v>0</v>
      </c>
      <c r="AD25" s="137" cm="1">
        <f t="array" ref="AD25">IFERROR(_xlfn.XLOOKUP($F25,'إعادة تخصيص الجهد'!$U$107:$U$108,_xlfn.XLOOKUP($G25,'إعادة تخصيص الجهد'!$V$106:$X$106,'إعادة تخصيص الجهد'!$V$107:$X$108)),0)</f>
        <v>0</v>
      </c>
    </row>
    <row r="26" spans="2:30" x14ac:dyDescent="0.3">
      <c r="B26" s="61">
        <v>21</v>
      </c>
      <c r="C26" s="61" t="str">
        <f>العميل!C32</f>
        <v>الفئة 21</v>
      </c>
      <c r="F26" s="101">
        <f>العميل!F32</f>
        <v>0</v>
      </c>
      <c r="G26" s="101">
        <f>العميل!G32</f>
        <v>0</v>
      </c>
      <c r="H26" s="109">
        <f>العميل!K32</f>
        <v>0</v>
      </c>
      <c r="I26" s="109">
        <f>العميل!L32</f>
        <v>0</v>
      </c>
      <c r="J26" s="109">
        <f>العميل!J32</f>
        <v>0</v>
      </c>
      <c r="K26" s="134">
        <f t="shared" si="0"/>
        <v>0</v>
      </c>
      <c r="L26" s="134">
        <f t="shared" si="1"/>
        <v>0</v>
      </c>
      <c r="M26" s="134">
        <f t="shared" si="2"/>
        <v>0</v>
      </c>
      <c r="N26" s="134">
        <f t="shared" si="6"/>
        <v>0</v>
      </c>
      <c r="O26" s="134">
        <f>العميل!AD32</f>
        <v>0</v>
      </c>
      <c r="P26" s="134">
        <f>العميل!AE32</f>
        <v>0</v>
      </c>
      <c r="Q26" s="134">
        <f>العميل!AF32</f>
        <v>0</v>
      </c>
      <c r="R26" s="92">
        <f t="shared" si="7"/>
        <v>0</v>
      </c>
      <c r="S26" s="107" t="str">
        <f t="shared" si="8"/>
        <v>--</v>
      </c>
      <c r="T26" s="107" t="str">
        <f t="shared" si="3"/>
        <v>--</v>
      </c>
      <c r="U26" s="107" t="str">
        <f t="shared" si="4"/>
        <v>--</v>
      </c>
      <c r="V26" s="135" t="str">
        <f t="shared" si="5"/>
        <v>--</v>
      </c>
      <c r="AB26" s="136" cm="1">
        <f t="array" ref="AB26">IFERROR(_xlfn.XLOOKUP($F26,'إعادة تخصيص الجهد'!$K$107:$K$108,_xlfn.XLOOKUP($G26,'إعادة تخصيص الجهد'!$L$106:$N$106,'إعادة تخصيص الجهد'!$L$107:$N$108)),0)</f>
        <v>0</v>
      </c>
      <c r="AC26" s="137" cm="1">
        <f t="array" ref="AC26">IFERROR(_xlfn.XLOOKUP($F26,'إعادة تخصيص الجهد'!$P$107:$P$108,_xlfn.XLOOKUP($G26,'إعادة تخصيص الجهد'!$Q$106:$S$106,'إعادة تخصيص الجهد'!$Q$107:$S$108)),0)</f>
        <v>0</v>
      </c>
      <c r="AD26" s="137" cm="1">
        <f t="array" ref="AD26">IFERROR(_xlfn.XLOOKUP($F26,'إعادة تخصيص الجهد'!$U$107:$U$108,_xlfn.XLOOKUP($G26,'إعادة تخصيص الجهد'!$V$106:$X$106,'إعادة تخصيص الجهد'!$V$107:$X$108)),0)</f>
        <v>0</v>
      </c>
    </row>
    <row r="27" spans="2:30" x14ac:dyDescent="0.3">
      <c r="B27" s="61">
        <v>22</v>
      </c>
      <c r="C27" s="61" t="str">
        <f>العميل!C33</f>
        <v>الفئة 22</v>
      </c>
      <c r="F27" s="101">
        <f>العميل!F33</f>
        <v>0</v>
      </c>
      <c r="G27" s="101">
        <f>العميل!G33</f>
        <v>0</v>
      </c>
      <c r="H27" s="109">
        <f>العميل!K33</f>
        <v>0</v>
      </c>
      <c r="I27" s="109">
        <f>العميل!L33</f>
        <v>0</v>
      </c>
      <c r="J27" s="109">
        <f>العميل!J33</f>
        <v>0</v>
      </c>
      <c r="K27" s="134">
        <f t="shared" si="0"/>
        <v>0</v>
      </c>
      <c r="L27" s="134">
        <f t="shared" si="1"/>
        <v>0</v>
      </c>
      <c r="M27" s="134">
        <f t="shared" si="2"/>
        <v>0</v>
      </c>
      <c r="N27" s="134">
        <f t="shared" si="6"/>
        <v>0</v>
      </c>
      <c r="O27" s="134">
        <f>العميل!AD33</f>
        <v>0</v>
      </c>
      <c r="P27" s="134">
        <f>العميل!AE33</f>
        <v>0</v>
      </c>
      <c r="Q27" s="134">
        <f>العميل!AF33</f>
        <v>0</v>
      </c>
      <c r="R27" s="92">
        <f t="shared" si="7"/>
        <v>0</v>
      </c>
      <c r="S27" s="107" t="str">
        <f t="shared" si="8"/>
        <v>--</v>
      </c>
      <c r="T27" s="107" t="str">
        <f t="shared" si="3"/>
        <v>--</v>
      </c>
      <c r="U27" s="107" t="str">
        <f t="shared" si="4"/>
        <v>--</v>
      </c>
      <c r="V27" s="135" t="str">
        <f t="shared" si="5"/>
        <v>--</v>
      </c>
      <c r="AB27" s="136" cm="1">
        <f t="array" ref="AB27">IFERROR(_xlfn.XLOOKUP($F27,'إعادة تخصيص الجهد'!$K$107:$K$108,_xlfn.XLOOKUP($G27,'إعادة تخصيص الجهد'!$L$106:$N$106,'إعادة تخصيص الجهد'!$L$107:$N$108)),0)</f>
        <v>0</v>
      </c>
      <c r="AC27" s="137" cm="1">
        <f t="array" ref="AC27">IFERROR(_xlfn.XLOOKUP($F27,'إعادة تخصيص الجهد'!$P$107:$P$108,_xlfn.XLOOKUP($G27,'إعادة تخصيص الجهد'!$Q$106:$S$106,'إعادة تخصيص الجهد'!$Q$107:$S$108)),0)</f>
        <v>0</v>
      </c>
      <c r="AD27" s="137" cm="1">
        <f t="array" ref="AD27">IFERROR(_xlfn.XLOOKUP($F27,'إعادة تخصيص الجهد'!$U$107:$U$108,_xlfn.XLOOKUP($G27,'إعادة تخصيص الجهد'!$V$106:$X$106,'إعادة تخصيص الجهد'!$V$107:$X$108)),0)</f>
        <v>0</v>
      </c>
    </row>
    <row r="28" spans="2:30" x14ac:dyDescent="0.3">
      <c r="B28" s="61">
        <v>23</v>
      </c>
      <c r="C28" s="61" t="str">
        <f>العميل!C34</f>
        <v>الفئة 23</v>
      </c>
      <c r="F28" s="101">
        <f>العميل!F34</f>
        <v>0</v>
      </c>
      <c r="G28" s="101">
        <f>العميل!G34</f>
        <v>0</v>
      </c>
      <c r="H28" s="109">
        <f>العميل!K34</f>
        <v>0</v>
      </c>
      <c r="I28" s="109">
        <f>العميل!L34</f>
        <v>0</v>
      </c>
      <c r="J28" s="109">
        <f>العميل!J34</f>
        <v>0</v>
      </c>
      <c r="K28" s="134">
        <f t="shared" si="0"/>
        <v>0</v>
      </c>
      <c r="L28" s="134">
        <f t="shared" si="1"/>
        <v>0</v>
      </c>
      <c r="M28" s="134">
        <f t="shared" si="2"/>
        <v>0</v>
      </c>
      <c r="N28" s="134">
        <f t="shared" si="6"/>
        <v>0</v>
      </c>
      <c r="O28" s="134">
        <f>العميل!AD34</f>
        <v>0</v>
      </c>
      <c r="P28" s="134">
        <f>العميل!AE34</f>
        <v>0</v>
      </c>
      <c r="Q28" s="134">
        <f>العميل!AF34</f>
        <v>0</v>
      </c>
      <c r="R28" s="92">
        <f t="shared" si="7"/>
        <v>0</v>
      </c>
      <c r="S28" s="107" t="str">
        <f t="shared" si="8"/>
        <v>--</v>
      </c>
      <c r="T28" s="107" t="str">
        <f t="shared" si="3"/>
        <v>--</v>
      </c>
      <c r="U28" s="107" t="str">
        <f t="shared" si="4"/>
        <v>--</v>
      </c>
      <c r="V28" s="135" t="str">
        <f t="shared" si="5"/>
        <v>--</v>
      </c>
      <c r="AB28" s="136" cm="1">
        <f t="array" ref="AB28">IFERROR(_xlfn.XLOOKUP($F28,'إعادة تخصيص الجهد'!$K$107:$K$108,_xlfn.XLOOKUP($G28,'إعادة تخصيص الجهد'!$L$106:$N$106,'إعادة تخصيص الجهد'!$L$107:$N$108)),0)</f>
        <v>0</v>
      </c>
      <c r="AC28" s="137" cm="1">
        <f t="array" ref="AC28">IFERROR(_xlfn.XLOOKUP($F28,'إعادة تخصيص الجهد'!$P$107:$P$108,_xlfn.XLOOKUP($G28,'إعادة تخصيص الجهد'!$Q$106:$S$106,'إعادة تخصيص الجهد'!$Q$107:$S$108)),0)</f>
        <v>0</v>
      </c>
      <c r="AD28" s="137" cm="1">
        <f t="array" ref="AD28">IFERROR(_xlfn.XLOOKUP($F28,'إعادة تخصيص الجهد'!$U$107:$U$108,_xlfn.XLOOKUP($G28,'إعادة تخصيص الجهد'!$V$106:$X$106,'إعادة تخصيص الجهد'!$V$107:$X$108)),0)</f>
        <v>0</v>
      </c>
    </row>
    <row r="29" spans="2:30" x14ac:dyDescent="0.3">
      <c r="B29" s="61">
        <v>24</v>
      </c>
      <c r="C29" s="61" t="str">
        <f>العميل!C35</f>
        <v>الفئة 24</v>
      </c>
      <c r="F29" s="101">
        <f>العميل!F35</f>
        <v>0</v>
      </c>
      <c r="G29" s="101">
        <f>العميل!G35</f>
        <v>0</v>
      </c>
      <c r="H29" s="109">
        <f>العميل!K35</f>
        <v>0</v>
      </c>
      <c r="I29" s="109">
        <f>العميل!L35</f>
        <v>0</v>
      </c>
      <c r="J29" s="109">
        <f>العميل!J35</f>
        <v>0</v>
      </c>
      <c r="K29" s="134">
        <f t="shared" si="0"/>
        <v>0</v>
      </c>
      <c r="L29" s="134">
        <f t="shared" si="1"/>
        <v>0</v>
      </c>
      <c r="M29" s="134">
        <f t="shared" si="2"/>
        <v>0</v>
      </c>
      <c r="N29" s="134">
        <f t="shared" si="6"/>
        <v>0</v>
      </c>
      <c r="O29" s="134">
        <f>العميل!AD35</f>
        <v>0</v>
      </c>
      <c r="P29" s="134">
        <f>العميل!AE35</f>
        <v>0</v>
      </c>
      <c r="Q29" s="134">
        <f>العميل!AF35</f>
        <v>0</v>
      </c>
      <c r="R29" s="92">
        <f t="shared" si="7"/>
        <v>0</v>
      </c>
      <c r="S29" s="107" t="str">
        <f t="shared" si="8"/>
        <v>--</v>
      </c>
      <c r="T29" s="107" t="str">
        <f t="shared" si="3"/>
        <v>--</v>
      </c>
      <c r="U29" s="107" t="str">
        <f t="shared" si="4"/>
        <v>--</v>
      </c>
      <c r="V29" s="135" t="str">
        <f t="shared" si="5"/>
        <v>--</v>
      </c>
      <c r="AB29" s="136" cm="1">
        <f t="array" ref="AB29">IFERROR(_xlfn.XLOOKUP($F29,'إعادة تخصيص الجهد'!$K$107:$K$108,_xlfn.XLOOKUP($G29,'إعادة تخصيص الجهد'!$L$106:$N$106,'إعادة تخصيص الجهد'!$L$107:$N$108)),0)</f>
        <v>0</v>
      </c>
      <c r="AC29" s="137" cm="1">
        <f t="array" ref="AC29">IFERROR(_xlfn.XLOOKUP($F29,'إعادة تخصيص الجهد'!$P$107:$P$108,_xlfn.XLOOKUP($G29,'إعادة تخصيص الجهد'!$Q$106:$S$106,'إعادة تخصيص الجهد'!$Q$107:$S$108)),0)</f>
        <v>0</v>
      </c>
      <c r="AD29" s="137" cm="1">
        <f t="array" ref="AD29">IFERROR(_xlfn.XLOOKUP($F29,'إعادة تخصيص الجهد'!$U$107:$U$108,_xlfn.XLOOKUP($G29,'إعادة تخصيص الجهد'!$V$106:$X$106,'إعادة تخصيص الجهد'!$V$107:$X$108)),0)</f>
        <v>0</v>
      </c>
    </row>
    <row r="30" spans="2:30" x14ac:dyDescent="0.3">
      <c r="B30" s="61">
        <v>25</v>
      </c>
      <c r="C30" s="61" t="str">
        <f>العميل!C36</f>
        <v>الفئة 25</v>
      </c>
      <c r="F30" s="101">
        <f>العميل!F36</f>
        <v>0</v>
      </c>
      <c r="G30" s="101">
        <f>العميل!G36</f>
        <v>0</v>
      </c>
      <c r="H30" s="109">
        <f>العميل!K36</f>
        <v>0</v>
      </c>
      <c r="I30" s="109">
        <f>العميل!L36</f>
        <v>0</v>
      </c>
      <c r="J30" s="109">
        <f>العميل!J36</f>
        <v>0</v>
      </c>
      <c r="K30" s="134">
        <f t="shared" si="0"/>
        <v>0</v>
      </c>
      <c r="L30" s="134">
        <f t="shared" si="1"/>
        <v>0</v>
      </c>
      <c r="M30" s="134">
        <f t="shared" si="2"/>
        <v>0</v>
      </c>
      <c r="N30" s="134">
        <f t="shared" si="6"/>
        <v>0</v>
      </c>
      <c r="O30" s="134">
        <f>العميل!AD36</f>
        <v>0</v>
      </c>
      <c r="P30" s="134">
        <f>العميل!AE36</f>
        <v>0</v>
      </c>
      <c r="Q30" s="134">
        <f>العميل!AF36</f>
        <v>0</v>
      </c>
      <c r="R30" s="92">
        <f t="shared" si="7"/>
        <v>0</v>
      </c>
      <c r="S30" s="107" t="str">
        <f t="shared" si="8"/>
        <v>--</v>
      </c>
      <c r="T30" s="107" t="str">
        <f t="shared" si="3"/>
        <v>--</v>
      </c>
      <c r="U30" s="107" t="str">
        <f t="shared" si="4"/>
        <v>--</v>
      </c>
      <c r="V30" s="135" t="str">
        <f t="shared" si="5"/>
        <v>--</v>
      </c>
      <c r="AB30" s="136" cm="1">
        <f t="array" ref="AB30">IFERROR(_xlfn.XLOOKUP($F30,'إعادة تخصيص الجهد'!$K$107:$K$108,_xlfn.XLOOKUP($G30,'إعادة تخصيص الجهد'!$L$106:$N$106,'إعادة تخصيص الجهد'!$L$107:$N$108)),0)</f>
        <v>0</v>
      </c>
      <c r="AC30" s="137" cm="1">
        <f t="array" ref="AC30">IFERROR(_xlfn.XLOOKUP($F30,'إعادة تخصيص الجهد'!$P$107:$P$108,_xlfn.XLOOKUP($G30,'إعادة تخصيص الجهد'!$Q$106:$S$106,'إعادة تخصيص الجهد'!$Q$107:$S$108)),0)</f>
        <v>0</v>
      </c>
      <c r="AD30" s="137" cm="1">
        <f t="array" ref="AD30">IFERROR(_xlfn.XLOOKUP($F30,'إعادة تخصيص الجهد'!$U$107:$U$108,_xlfn.XLOOKUP($G30,'إعادة تخصيص الجهد'!$V$106:$X$106,'إعادة تخصيص الجهد'!$V$107:$X$108)),0)</f>
        <v>0</v>
      </c>
    </row>
    <row r="31" spans="2:30" x14ac:dyDescent="0.3">
      <c r="B31" s="61">
        <v>26</v>
      </c>
      <c r="C31" s="61" t="str">
        <f>العميل!C37</f>
        <v>الفئة 26</v>
      </c>
      <c r="F31" s="101">
        <f>العميل!F37</f>
        <v>0</v>
      </c>
      <c r="G31" s="101">
        <f>العميل!G37</f>
        <v>0</v>
      </c>
      <c r="H31" s="109">
        <f>العميل!K37</f>
        <v>0</v>
      </c>
      <c r="I31" s="109">
        <f>العميل!L37</f>
        <v>0</v>
      </c>
      <c r="J31" s="109">
        <f>العميل!J37</f>
        <v>0</v>
      </c>
      <c r="K31" s="134">
        <f t="shared" si="0"/>
        <v>0</v>
      </c>
      <c r="L31" s="134">
        <f t="shared" si="1"/>
        <v>0</v>
      </c>
      <c r="M31" s="134">
        <f t="shared" si="2"/>
        <v>0</v>
      </c>
      <c r="N31" s="134">
        <f t="shared" si="6"/>
        <v>0</v>
      </c>
      <c r="O31" s="134">
        <f>العميل!AD37</f>
        <v>0</v>
      </c>
      <c r="P31" s="134">
        <f>العميل!AE37</f>
        <v>0</v>
      </c>
      <c r="Q31" s="134">
        <f>العميل!AF37</f>
        <v>0</v>
      </c>
      <c r="R31" s="92">
        <f t="shared" si="7"/>
        <v>0</v>
      </c>
      <c r="S31" s="107" t="str">
        <f t="shared" si="8"/>
        <v>--</v>
      </c>
      <c r="T31" s="107" t="str">
        <f t="shared" si="3"/>
        <v>--</v>
      </c>
      <c r="U31" s="107" t="str">
        <f t="shared" si="4"/>
        <v>--</v>
      </c>
      <c r="V31" s="135" t="str">
        <f t="shared" si="5"/>
        <v>--</v>
      </c>
      <c r="AB31" s="136" cm="1">
        <f t="array" ref="AB31">IFERROR(_xlfn.XLOOKUP($F31,'إعادة تخصيص الجهد'!$K$107:$K$108,_xlfn.XLOOKUP($G31,'إعادة تخصيص الجهد'!$L$106:$N$106,'إعادة تخصيص الجهد'!$L$107:$N$108)),0)</f>
        <v>0</v>
      </c>
      <c r="AC31" s="137" cm="1">
        <f t="array" ref="AC31">IFERROR(_xlfn.XLOOKUP($F31,'إعادة تخصيص الجهد'!$P$107:$P$108,_xlfn.XLOOKUP($G31,'إعادة تخصيص الجهد'!$Q$106:$S$106,'إعادة تخصيص الجهد'!$Q$107:$S$108)),0)</f>
        <v>0</v>
      </c>
      <c r="AD31" s="137" cm="1">
        <f t="array" ref="AD31">IFERROR(_xlfn.XLOOKUP($F31,'إعادة تخصيص الجهد'!$U$107:$U$108,_xlfn.XLOOKUP($G31,'إعادة تخصيص الجهد'!$V$106:$X$106,'إعادة تخصيص الجهد'!$V$107:$X$108)),0)</f>
        <v>0</v>
      </c>
    </row>
    <row r="32" spans="2:30" x14ac:dyDescent="0.3">
      <c r="B32" s="61">
        <v>27</v>
      </c>
      <c r="C32" s="61" t="str">
        <f>العميل!C38</f>
        <v>الفئة 27</v>
      </c>
      <c r="F32" s="101">
        <f>العميل!F38</f>
        <v>0</v>
      </c>
      <c r="G32" s="101">
        <f>العميل!G38</f>
        <v>0</v>
      </c>
      <c r="H32" s="109">
        <f>العميل!K38</f>
        <v>0</v>
      </c>
      <c r="I32" s="109">
        <f>العميل!L38</f>
        <v>0</v>
      </c>
      <c r="J32" s="109">
        <f>العميل!J38</f>
        <v>0</v>
      </c>
      <c r="K32" s="134">
        <f t="shared" si="0"/>
        <v>0</v>
      </c>
      <c r="L32" s="134">
        <f t="shared" si="1"/>
        <v>0</v>
      </c>
      <c r="M32" s="134">
        <f t="shared" si="2"/>
        <v>0</v>
      </c>
      <c r="N32" s="134">
        <f t="shared" si="6"/>
        <v>0</v>
      </c>
      <c r="O32" s="134">
        <f>العميل!AD38</f>
        <v>0</v>
      </c>
      <c r="P32" s="134">
        <f>العميل!AE38</f>
        <v>0</v>
      </c>
      <c r="Q32" s="134">
        <f>العميل!AF38</f>
        <v>0</v>
      </c>
      <c r="R32" s="92">
        <f t="shared" si="7"/>
        <v>0</v>
      </c>
      <c r="S32" s="107" t="str">
        <f t="shared" si="8"/>
        <v>--</v>
      </c>
      <c r="T32" s="107" t="str">
        <f t="shared" si="3"/>
        <v>--</v>
      </c>
      <c r="U32" s="107" t="str">
        <f t="shared" si="4"/>
        <v>--</v>
      </c>
      <c r="V32" s="135" t="str">
        <f t="shared" si="5"/>
        <v>--</v>
      </c>
      <c r="AB32" s="136" cm="1">
        <f t="array" ref="AB32">IFERROR(_xlfn.XLOOKUP($F32,'إعادة تخصيص الجهد'!$K$107:$K$108,_xlfn.XLOOKUP($G32,'إعادة تخصيص الجهد'!$L$106:$N$106,'إعادة تخصيص الجهد'!$L$107:$N$108)),0)</f>
        <v>0</v>
      </c>
      <c r="AC32" s="137" cm="1">
        <f t="array" ref="AC32">IFERROR(_xlfn.XLOOKUP($F32,'إعادة تخصيص الجهد'!$P$107:$P$108,_xlfn.XLOOKUP($G32,'إعادة تخصيص الجهد'!$Q$106:$S$106,'إعادة تخصيص الجهد'!$Q$107:$S$108)),0)</f>
        <v>0</v>
      </c>
      <c r="AD32" s="137" cm="1">
        <f t="array" ref="AD32">IFERROR(_xlfn.XLOOKUP($F32,'إعادة تخصيص الجهد'!$U$107:$U$108,_xlfn.XLOOKUP($G32,'إعادة تخصيص الجهد'!$V$106:$X$106,'إعادة تخصيص الجهد'!$V$107:$X$108)),0)</f>
        <v>0</v>
      </c>
    </row>
    <row r="33" spans="2:30" x14ac:dyDescent="0.3">
      <c r="B33" s="61">
        <v>28</v>
      </c>
      <c r="C33" s="61" t="str">
        <f>العميل!C39</f>
        <v>الفئة 28</v>
      </c>
      <c r="F33" s="101">
        <f>العميل!F39</f>
        <v>0</v>
      </c>
      <c r="G33" s="101">
        <f>العميل!G39</f>
        <v>0</v>
      </c>
      <c r="H33" s="109">
        <f>العميل!K39</f>
        <v>0</v>
      </c>
      <c r="I33" s="109">
        <f>العميل!L39</f>
        <v>0</v>
      </c>
      <c r="J33" s="109">
        <f>العميل!J39</f>
        <v>0</v>
      </c>
      <c r="K33" s="134">
        <f t="shared" si="0"/>
        <v>0</v>
      </c>
      <c r="L33" s="134">
        <f t="shared" si="1"/>
        <v>0</v>
      </c>
      <c r="M33" s="134">
        <f t="shared" si="2"/>
        <v>0</v>
      </c>
      <c r="N33" s="134">
        <f t="shared" si="6"/>
        <v>0</v>
      </c>
      <c r="O33" s="134">
        <f>العميل!AD39</f>
        <v>0</v>
      </c>
      <c r="P33" s="134">
        <f>العميل!AE39</f>
        <v>0</v>
      </c>
      <c r="Q33" s="134">
        <f>العميل!AF39</f>
        <v>0</v>
      </c>
      <c r="R33" s="92">
        <f t="shared" si="7"/>
        <v>0</v>
      </c>
      <c r="S33" s="107" t="str">
        <f t="shared" si="8"/>
        <v>--</v>
      </c>
      <c r="T33" s="107" t="str">
        <f t="shared" si="3"/>
        <v>--</v>
      </c>
      <c r="U33" s="107" t="str">
        <f t="shared" si="4"/>
        <v>--</v>
      </c>
      <c r="V33" s="135" t="str">
        <f t="shared" si="5"/>
        <v>--</v>
      </c>
      <c r="AB33" s="136" cm="1">
        <f t="array" ref="AB33">IFERROR(_xlfn.XLOOKUP($F33,'إعادة تخصيص الجهد'!$K$107:$K$108,_xlfn.XLOOKUP($G33,'إعادة تخصيص الجهد'!$L$106:$N$106,'إعادة تخصيص الجهد'!$L$107:$N$108)),0)</f>
        <v>0</v>
      </c>
      <c r="AC33" s="137" cm="1">
        <f t="array" ref="AC33">IFERROR(_xlfn.XLOOKUP($F33,'إعادة تخصيص الجهد'!$P$107:$P$108,_xlfn.XLOOKUP($G33,'إعادة تخصيص الجهد'!$Q$106:$S$106,'إعادة تخصيص الجهد'!$Q$107:$S$108)),0)</f>
        <v>0</v>
      </c>
      <c r="AD33" s="137" cm="1">
        <f t="array" ref="AD33">IFERROR(_xlfn.XLOOKUP($F33,'إعادة تخصيص الجهد'!$U$107:$U$108,_xlfn.XLOOKUP($G33,'إعادة تخصيص الجهد'!$V$106:$X$106,'إعادة تخصيص الجهد'!$V$107:$X$108)),0)</f>
        <v>0</v>
      </c>
    </row>
    <row r="34" spans="2:30" x14ac:dyDescent="0.3">
      <c r="B34" s="61">
        <v>29</v>
      </c>
      <c r="C34" s="61" t="str">
        <f>العميل!C40</f>
        <v>الفئة 29</v>
      </c>
      <c r="F34" s="101">
        <f>العميل!F40</f>
        <v>0</v>
      </c>
      <c r="G34" s="101">
        <f>العميل!G40</f>
        <v>0</v>
      </c>
      <c r="H34" s="109">
        <f>العميل!K40</f>
        <v>0</v>
      </c>
      <c r="I34" s="109">
        <f>العميل!L40</f>
        <v>0</v>
      </c>
      <c r="J34" s="109">
        <f>العميل!J40</f>
        <v>0</v>
      </c>
      <c r="K34" s="134">
        <f t="shared" si="0"/>
        <v>0</v>
      </c>
      <c r="L34" s="134">
        <f t="shared" si="1"/>
        <v>0</v>
      </c>
      <c r="M34" s="134">
        <f t="shared" si="2"/>
        <v>0</v>
      </c>
      <c r="N34" s="134">
        <f t="shared" si="6"/>
        <v>0</v>
      </c>
      <c r="O34" s="134">
        <f>العميل!AD40</f>
        <v>0</v>
      </c>
      <c r="P34" s="134">
        <f>العميل!AE40</f>
        <v>0</v>
      </c>
      <c r="Q34" s="134">
        <f>العميل!AF40</f>
        <v>0</v>
      </c>
      <c r="R34" s="92">
        <f t="shared" si="7"/>
        <v>0</v>
      </c>
      <c r="S34" s="107" t="str">
        <f t="shared" si="8"/>
        <v>--</v>
      </c>
      <c r="T34" s="107" t="str">
        <f t="shared" si="3"/>
        <v>--</v>
      </c>
      <c r="U34" s="107" t="str">
        <f t="shared" si="4"/>
        <v>--</v>
      </c>
      <c r="V34" s="135" t="str">
        <f t="shared" si="5"/>
        <v>--</v>
      </c>
      <c r="AB34" s="136" cm="1">
        <f t="array" ref="AB34">IFERROR(_xlfn.XLOOKUP($F34,'إعادة تخصيص الجهد'!$K$107:$K$108,_xlfn.XLOOKUP($G34,'إعادة تخصيص الجهد'!$L$106:$N$106,'إعادة تخصيص الجهد'!$L$107:$N$108)),0)</f>
        <v>0</v>
      </c>
      <c r="AC34" s="137" cm="1">
        <f t="array" ref="AC34">IFERROR(_xlfn.XLOOKUP($F34,'إعادة تخصيص الجهد'!$P$107:$P$108,_xlfn.XLOOKUP($G34,'إعادة تخصيص الجهد'!$Q$106:$S$106,'إعادة تخصيص الجهد'!$Q$107:$S$108)),0)</f>
        <v>0</v>
      </c>
      <c r="AD34" s="137" cm="1">
        <f t="array" ref="AD34">IFERROR(_xlfn.XLOOKUP($F34,'إعادة تخصيص الجهد'!$U$107:$U$108,_xlfn.XLOOKUP($G34,'إعادة تخصيص الجهد'!$V$106:$X$106,'إعادة تخصيص الجهد'!$V$107:$X$108)),0)</f>
        <v>0</v>
      </c>
    </row>
    <row r="35" spans="2:30" x14ac:dyDescent="0.3">
      <c r="B35" s="61">
        <v>30</v>
      </c>
      <c r="C35" s="61" t="str">
        <f>العميل!C41</f>
        <v>الفئة 30</v>
      </c>
      <c r="F35" s="101">
        <f>العميل!F41</f>
        <v>0</v>
      </c>
      <c r="G35" s="101">
        <f>العميل!G41</f>
        <v>0</v>
      </c>
      <c r="H35" s="109">
        <f>العميل!K41</f>
        <v>0</v>
      </c>
      <c r="I35" s="109">
        <f>العميل!L41</f>
        <v>0</v>
      </c>
      <c r="J35" s="109">
        <f>العميل!J41</f>
        <v>0</v>
      </c>
      <c r="K35" s="134">
        <f t="shared" si="0"/>
        <v>0</v>
      </c>
      <c r="L35" s="134">
        <f t="shared" si="1"/>
        <v>0</v>
      </c>
      <c r="M35" s="134">
        <f t="shared" si="2"/>
        <v>0</v>
      </c>
      <c r="N35" s="134">
        <f t="shared" si="6"/>
        <v>0</v>
      </c>
      <c r="O35" s="134">
        <f>العميل!AD41</f>
        <v>0</v>
      </c>
      <c r="P35" s="134">
        <f>العميل!AE41</f>
        <v>0</v>
      </c>
      <c r="Q35" s="134">
        <f>العميل!AF41</f>
        <v>0</v>
      </c>
      <c r="R35" s="92">
        <f t="shared" si="7"/>
        <v>0</v>
      </c>
      <c r="S35" s="107" t="str">
        <f t="shared" si="8"/>
        <v>--</v>
      </c>
      <c r="T35" s="107" t="str">
        <f t="shared" si="3"/>
        <v>--</v>
      </c>
      <c r="U35" s="107" t="str">
        <f t="shared" si="4"/>
        <v>--</v>
      </c>
      <c r="V35" s="135" t="str">
        <f t="shared" si="5"/>
        <v>--</v>
      </c>
      <c r="AB35" s="136" cm="1">
        <f t="array" ref="AB35">IFERROR(_xlfn.XLOOKUP($F35,'إعادة تخصيص الجهد'!$K$107:$K$108,_xlfn.XLOOKUP($G35,'إعادة تخصيص الجهد'!$L$106:$N$106,'إعادة تخصيص الجهد'!$L$107:$N$108)),0)</f>
        <v>0</v>
      </c>
      <c r="AC35" s="137" cm="1">
        <f t="array" ref="AC35">IFERROR(_xlfn.XLOOKUP($F35,'إعادة تخصيص الجهد'!$P$107:$P$108,_xlfn.XLOOKUP($G35,'إعادة تخصيص الجهد'!$Q$106:$S$106,'إعادة تخصيص الجهد'!$Q$107:$S$108)),0)</f>
        <v>0</v>
      </c>
      <c r="AD35" s="137" cm="1">
        <f t="array" ref="AD35">IFERROR(_xlfn.XLOOKUP($F35,'إعادة تخصيص الجهد'!$U$107:$U$108,_xlfn.XLOOKUP($G35,'إعادة تخصيص الجهد'!$V$106:$X$106,'إعادة تخصيص الجهد'!$V$107:$X$108)),0)</f>
        <v>0</v>
      </c>
    </row>
    <row r="36" spans="2:30" x14ac:dyDescent="0.3">
      <c r="B36" s="61" t="s">
        <v>16</v>
      </c>
      <c r="C36" s="138" t="s">
        <v>257</v>
      </c>
      <c r="D36" s="138"/>
      <c r="E36" s="138"/>
      <c r="F36" s="101">
        <f>العميل!F42</f>
        <v>0</v>
      </c>
      <c r="G36" s="101" t="s">
        <v>258</v>
      </c>
      <c r="H36" s="109">
        <f>العميل!K42</f>
        <v>0</v>
      </c>
      <c r="I36" s="109">
        <f>العميل!L42</f>
        <v>0</v>
      </c>
      <c r="J36" s="109">
        <f>العميل!J42</f>
        <v>0</v>
      </c>
      <c r="K36" s="134">
        <f t="shared" si="0"/>
        <v>0</v>
      </c>
      <c r="L36" s="134">
        <f t="shared" si="1"/>
        <v>0</v>
      </c>
      <c r="M36" s="134">
        <f t="shared" si="2"/>
        <v>0</v>
      </c>
      <c r="N36" s="134">
        <f t="shared" si="6"/>
        <v>0</v>
      </c>
      <c r="O36" s="134">
        <f>العميل!AD42</f>
        <v>0</v>
      </c>
      <c r="P36" s="134">
        <f>العميل!AE42</f>
        <v>0</v>
      </c>
      <c r="Q36" s="134">
        <f>العميل!AF42</f>
        <v>0</v>
      </c>
      <c r="R36" s="92">
        <f t="shared" si="7"/>
        <v>0</v>
      </c>
      <c r="S36" s="107" t="str">
        <f t="shared" si="8"/>
        <v>--</v>
      </c>
      <c r="T36" s="107" t="str">
        <f t="shared" si="3"/>
        <v>--</v>
      </c>
      <c r="U36" s="107" t="str">
        <f t="shared" si="4"/>
        <v>--</v>
      </c>
      <c r="V36" s="135" t="str">
        <f t="shared" si="5"/>
        <v>--</v>
      </c>
      <c r="AB36" s="136" cm="1">
        <f t="array" ref="AB36">IFERROR(_xlfn.XLOOKUP($F36,'إعادة تخصيص الجهد'!$K$107:$K$108,_xlfn.XLOOKUP($G36,'إعادة تخصيص الجهد'!$L$106:$N$106,'إعادة تخصيص الجهد'!$L$107:$N$108)),0)</f>
        <v>0</v>
      </c>
      <c r="AC36" s="137" cm="1">
        <f t="array" ref="AC36">IFERROR(_xlfn.XLOOKUP($F36,'إعادة تخصيص الجهد'!$P$107:$P$108,_xlfn.XLOOKUP($G36,'إعادة تخصيص الجهد'!$Q$106:$S$106,'إعادة تخصيص الجهد'!$Q$107:$S$108)),0)</f>
        <v>0</v>
      </c>
      <c r="AD36" s="137" cm="1">
        <f t="array" ref="AD36">IFERROR(_xlfn.XLOOKUP($F36,'إعادة تخصيص الجهد'!$U$107:$U$108,_xlfn.XLOOKUP($G36,'إعادة تخصيص الجهد'!$V$106:$X$106,'إعادة تخصيص الجهد'!$V$107:$X$108)),0)</f>
        <v>0</v>
      </c>
    </row>
    <row r="37" spans="2:30" x14ac:dyDescent="0.3">
      <c r="H37" s="92"/>
      <c r="I37" s="92"/>
      <c r="J37" s="92"/>
      <c r="K37" s="92">
        <f t="shared" ref="K37:N37" si="9">SUM(K6:K36)</f>
        <v>0</v>
      </c>
      <c r="L37" s="92">
        <f t="shared" si="9"/>
        <v>0</v>
      </c>
      <c r="M37" s="92">
        <f t="shared" si="9"/>
        <v>0</v>
      </c>
      <c r="N37" s="92">
        <f t="shared" si="9"/>
        <v>0</v>
      </c>
      <c r="O37" s="92">
        <f t="shared" ref="O37:R37" si="10">SUM(O6:O36)</f>
        <v>845.05123042000014</v>
      </c>
      <c r="P37" s="92">
        <f t="shared" si="10"/>
        <v>12.950913080000051</v>
      </c>
      <c r="Q37" s="92">
        <f t="shared" si="10"/>
        <v>188.32285649999997</v>
      </c>
      <c r="R37" s="92">
        <f t="shared" si="10"/>
        <v>1046.3250000000003</v>
      </c>
      <c r="S37" s="135" t="str">
        <f t="shared" si="8"/>
        <v>--</v>
      </c>
      <c r="T37" s="135" t="str">
        <f t="shared" si="3"/>
        <v>--</v>
      </c>
      <c r="U37" s="135" t="str">
        <f t="shared" si="4"/>
        <v>--</v>
      </c>
      <c r="V37" s="135" t="str">
        <f t="shared" si="5"/>
        <v>--</v>
      </c>
    </row>
  </sheetData>
  <mergeCells count="7">
    <mergeCell ref="O4:R4"/>
    <mergeCell ref="H4:J4"/>
    <mergeCell ref="S4:V4"/>
    <mergeCell ref="C4:E5"/>
    <mergeCell ref="F4:F5"/>
    <mergeCell ref="G4:G5"/>
    <mergeCell ref="K4:N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0822-DD65-45D4-90E1-CD3BB51BE82C}">
  <dimension ref="B2:F3"/>
  <sheetViews>
    <sheetView showGridLines="0" rightToLeft="1" zoomScale="120" zoomScaleNormal="120" workbookViewId="0">
      <selection sqref="A1:XFD1048576"/>
    </sheetView>
  </sheetViews>
  <sheetFormatPr defaultColWidth="9.1796875" defaultRowHeight="13" x14ac:dyDescent="0.3"/>
  <cols>
    <col min="1" max="16384" width="9.1796875" style="61"/>
  </cols>
  <sheetData>
    <row r="2" spans="2:6" x14ac:dyDescent="0.3">
      <c r="B2" s="61" t="s">
        <v>343</v>
      </c>
    </row>
    <row r="3" spans="2:6" x14ac:dyDescent="0.3">
      <c r="B3" s="61" t="s">
        <v>148</v>
      </c>
      <c r="E3" s="61" t="str">
        <f>IF(العميل!N43&lt;&gt;1,"ERROR !!","OK")</f>
        <v>OK</v>
      </c>
      <c r="F3" s="61" t="str">
        <f>IF(E3="ERROR !!","Values in Customer sheet don’t add upto 100%","--")</f>
        <v>--</v>
      </c>
    </row>
  </sheetData>
  <conditionalFormatting sqref="E3">
    <cfRule type="containsText" dxfId="1" priority="1" operator="containsText" text="ok">
      <formula>NOT(ISERROR(SEARCH("ok",E3)))</formula>
    </cfRule>
    <cfRule type="containsText" dxfId="0" priority="2" operator="containsText" text="error">
      <formula>NOT(ISERROR(SEARCH("error",E3)))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ترجمة المصطلحات</vt:lpstr>
      <vt:lpstr>اقرأ</vt:lpstr>
      <vt:lpstr>متطلبات الإيرادات</vt:lpstr>
      <vt:lpstr>العميل</vt:lpstr>
      <vt:lpstr>الخسارة</vt:lpstr>
      <vt:lpstr>الأصول</vt:lpstr>
      <vt:lpstr>النفقات</vt:lpstr>
      <vt:lpstr>إعادة تخصيص الجهد</vt:lpstr>
      <vt:lpstr>المخرَج</vt:lpstr>
      <vt:lpstr>الأخطاء الإحصائية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 Jadhav</dc:creator>
  <cp:lastModifiedBy>Yvonne Mambwe</cp:lastModifiedBy>
  <dcterms:created xsi:type="dcterms:W3CDTF">2015-06-05T18:17:20Z</dcterms:created>
  <dcterms:modified xsi:type="dcterms:W3CDTF">2024-12-02T07:49:19Z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dd0be-22e7-4731-ba12-4b11f4b54d4f_Enabled">
    <vt:lpwstr>true</vt:lpwstr>
  </property>
  <property fmtid="{D5CDD505-2E9C-101B-9397-08002B2CF9AE}" pid="3" name="MSIP_Label_f43dd0be-22e7-4731-ba12-4b11f4b54d4f_SetDate">
    <vt:lpwstr>2024-07-11T08:16:48Z</vt:lpwstr>
  </property>
  <property fmtid="{D5CDD505-2E9C-101B-9397-08002B2CF9AE}" pid="4" name="MSIP_Label_f43dd0be-22e7-4731-ba12-4b11f4b54d4f_Method">
    <vt:lpwstr>Privileged</vt:lpwstr>
  </property>
  <property fmtid="{D5CDD505-2E9C-101B-9397-08002B2CF9AE}" pid="5" name="MSIP_Label_f43dd0be-22e7-4731-ba12-4b11f4b54d4f_Name">
    <vt:lpwstr>External-Confidential</vt:lpwstr>
  </property>
  <property fmtid="{D5CDD505-2E9C-101B-9397-08002B2CF9AE}" pid="6" name="MSIP_Label_f43dd0be-22e7-4731-ba12-4b11f4b54d4f_SiteId">
    <vt:lpwstr>4d8b04bf-7a7c-48a0-b6e3-38da5008297e</vt:lpwstr>
  </property>
  <property fmtid="{D5CDD505-2E9C-101B-9397-08002B2CF9AE}" pid="7" name="MSIP_Label_f43dd0be-22e7-4731-ba12-4b11f4b54d4f_ActionId">
    <vt:lpwstr>722bb906-2297-443a-86b8-a36c44b51c29</vt:lpwstr>
  </property>
  <property fmtid="{D5CDD505-2E9C-101B-9397-08002B2CF9AE}" pid="8" name="MSIP_Label_f43dd0be-22e7-4731-ba12-4b11f4b54d4f_ContentBits">
    <vt:lpwstr>0</vt:lpwstr>
  </property>
</Properties>
</file>