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comesaheadoffice-my.sharepoint.com/personal/ymambwe_comesa_int/Documents/Documents/CRISIL LIMITED/FINAL REPORTS/FOR TRANSLATION/FRENCH/"/>
    </mc:Choice>
  </mc:AlternateContent>
  <xr:revisionPtr revIDLastSave="0" documentId="8_{396D001A-CF5D-4B9D-A073-D25EF704D52E}" xr6:coauthVersionLast="47" xr6:coauthVersionMax="47" xr10:uidLastSave="{00000000-0000-0000-0000-000000000000}"/>
  <bookViews>
    <workbookView xWindow="-110" yWindow="-110" windowWidth="19420" windowHeight="10300" xr2:uid="{00000000-000D-0000-FFFF-FFFF00000000}"/>
  </bookViews>
  <sheets>
    <sheet name="Glossary" sheetId="10" r:id="rId1"/>
    <sheet name="ReadMe" sheetId="2" r:id="rId2"/>
    <sheet name="RR" sheetId="1" r:id="rId3"/>
    <sheet name="Customer" sheetId="3" r:id="rId4"/>
    <sheet name="Loss" sheetId="5" r:id="rId5"/>
    <sheet name="Feuil1" sheetId="11" r:id="rId6"/>
    <sheet name="Assets" sheetId="6" r:id="rId7"/>
    <sheet name="Expenses" sheetId="7" r:id="rId8"/>
    <sheet name="V.Realloc" sheetId="8" r:id="rId9"/>
    <sheet name="Output" sheetId="9" r:id="rId10"/>
    <sheet name="Err.Stat" sheetId="4" r:id="rId11"/>
    <sheet name="Feuil2" sheetId="12" r:id="rId12"/>
    <sheet name="Feuil3" sheetId="13" r:id="rId13"/>
  </sheets>
  <externalReferences>
    <externalReference r:id="rId1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9" l="1"/>
  <c r="B4" i="10" l="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L12" i="3"/>
  <c r="L42" i="3" l="1"/>
  <c r="L41" i="3"/>
  <c r="I35" i="9" s="1"/>
  <c r="L40" i="3"/>
  <c r="L39" i="3"/>
  <c r="L38" i="3"/>
  <c r="L37" i="3"/>
  <c r="L36" i="3"/>
  <c r="L35" i="3"/>
  <c r="I29" i="9" s="1"/>
  <c r="L34" i="3"/>
  <c r="L33" i="3"/>
  <c r="I27" i="9" s="1"/>
  <c r="L32" i="3"/>
  <c r="I26" i="9" s="1"/>
  <c r="L31" i="3"/>
  <c r="I25" i="9" s="1"/>
  <c r="L30" i="3"/>
  <c r="L29" i="3"/>
  <c r="L28" i="3"/>
  <c r="L27" i="3"/>
  <c r="I21" i="9" s="1"/>
  <c r="L26" i="3"/>
  <c r="L25" i="3"/>
  <c r="L24" i="3"/>
  <c r="L23" i="3"/>
  <c r="L22" i="3"/>
  <c r="L21" i="3"/>
  <c r="I15" i="9" s="1"/>
  <c r="L20" i="3"/>
  <c r="M98" i="8" s="1"/>
  <c r="L19" i="3"/>
  <c r="I13" i="9" s="1"/>
  <c r="L18" i="3"/>
  <c r="L17" i="3"/>
  <c r="I11" i="9" s="1"/>
  <c r="L16" i="3"/>
  <c r="L15" i="3"/>
  <c r="L14" i="3"/>
  <c r="L13" i="3"/>
  <c r="I8" i="9"/>
  <c r="I12" i="9"/>
  <c r="I28" i="9"/>
  <c r="I30" i="9"/>
  <c r="I33" i="9"/>
  <c r="I22" i="9"/>
  <c r="I32" i="9"/>
  <c r="I36" i="9"/>
  <c r="H7" i="9"/>
  <c r="I7" i="9"/>
  <c r="J7" i="9"/>
  <c r="H8" i="9"/>
  <c r="J8" i="9"/>
  <c r="H9" i="9"/>
  <c r="I9" i="9"/>
  <c r="J9" i="9"/>
  <c r="H10" i="9"/>
  <c r="I10" i="9"/>
  <c r="J10" i="9"/>
  <c r="H11" i="9"/>
  <c r="J11" i="9"/>
  <c r="H12" i="9"/>
  <c r="J12" i="9"/>
  <c r="H13" i="9"/>
  <c r="J13" i="9"/>
  <c r="H14" i="9"/>
  <c r="J14" i="9"/>
  <c r="H15" i="9"/>
  <c r="J15" i="9"/>
  <c r="H16" i="9"/>
  <c r="I16" i="9"/>
  <c r="J16" i="9"/>
  <c r="H17" i="9"/>
  <c r="I17" i="9"/>
  <c r="J17" i="9"/>
  <c r="H18" i="9"/>
  <c r="I18" i="9"/>
  <c r="J18" i="9"/>
  <c r="H19" i="9"/>
  <c r="I19" i="9"/>
  <c r="J19" i="9"/>
  <c r="H20" i="9"/>
  <c r="I20" i="9"/>
  <c r="J20" i="9"/>
  <c r="H21" i="9"/>
  <c r="J21" i="9"/>
  <c r="H22" i="9"/>
  <c r="J22" i="9"/>
  <c r="H23" i="9"/>
  <c r="I23" i="9"/>
  <c r="J23" i="9"/>
  <c r="H24" i="9"/>
  <c r="I24" i="9"/>
  <c r="J24" i="9"/>
  <c r="H25" i="9"/>
  <c r="J25" i="9"/>
  <c r="H26" i="9"/>
  <c r="J26" i="9"/>
  <c r="H27" i="9"/>
  <c r="J27" i="9"/>
  <c r="H28" i="9"/>
  <c r="J28" i="9"/>
  <c r="H29" i="9"/>
  <c r="J29" i="9"/>
  <c r="H30" i="9"/>
  <c r="J30" i="9"/>
  <c r="H31" i="9"/>
  <c r="I31" i="9"/>
  <c r="J31" i="9"/>
  <c r="H32" i="9"/>
  <c r="J32" i="9"/>
  <c r="H33" i="9"/>
  <c r="J33" i="9"/>
  <c r="H34" i="9"/>
  <c r="I34" i="9"/>
  <c r="J34" i="9"/>
  <c r="H35" i="9"/>
  <c r="J35" i="9"/>
  <c r="H36" i="9"/>
  <c r="J36" i="9"/>
  <c r="G21" i="9"/>
  <c r="F21" i="9"/>
  <c r="J6" i="9"/>
  <c r="I6" i="9"/>
  <c r="H6" i="9"/>
  <c r="Z98" i="8"/>
  <c r="Y98" i="8"/>
  <c r="X98" i="8"/>
  <c r="W98" i="8"/>
  <c r="V98" i="8"/>
  <c r="U98" i="8"/>
  <c r="T98" i="8"/>
  <c r="S98" i="8"/>
  <c r="R98" i="8"/>
  <c r="Q98" i="8"/>
  <c r="P98" i="8"/>
  <c r="O98" i="8"/>
  <c r="N98" i="8"/>
  <c r="L98" i="8"/>
  <c r="Z78" i="8"/>
  <c r="X78" i="8"/>
  <c r="W78" i="8"/>
  <c r="U78" i="8"/>
  <c r="T78" i="8"/>
  <c r="R78" i="8"/>
  <c r="Q78" i="8"/>
  <c r="O78" i="8"/>
  <c r="L78" i="8"/>
  <c r="Y86" i="8"/>
  <c r="X86" i="8"/>
  <c r="V86" i="8"/>
  <c r="U86" i="8"/>
  <c r="S86" i="8"/>
  <c r="R86" i="8"/>
  <c r="P86" i="8"/>
  <c r="O86" i="8"/>
  <c r="M86" i="8"/>
  <c r="L86" i="8"/>
  <c r="Z72" i="8"/>
  <c r="Y72" i="8"/>
  <c r="W72" i="8"/>
  <c r="V72" i="8"/>
  <c r="T72" i="8"/>
  <c r="S72" i="8"/>
  <c r="Q72" i="8"/>
  <c r="P72" i="8"/>
  <c r="N72" i="8"/>
  <c r="M72" i="8"/>
  <c r="Z64" i="8"/>
  <c r="X64" i="8"/>
  <c r="W64" i="8"/>
  <c r="U64" i="8"/>
  <c r="T64" i="8"/>
  <c r="R64" i="8"/>
  <c r="Q64" i="8"/>
  <c r="O64" i="8"/>
  <c r="N64" i="8"/>
  <c r="L64" i="8"/>
  <c r="Z56" i="8"/>
  <c r="Y56" i="8"/>
  <c r="W56" i="8"/>
  <c r="V56" i="8"/>
  <c r="T56" i="8"/>
  <c r="S56" i="8"/>
  <c r="Q56" i="8"/>
  <c r="P56" i="8"/>
  <c r="N78" i="8"/>
  <c r="N56" i="8"/>
  <c r="M56" i="8"/>
  <c r="M38" i="8"/>
  <c r="P38" i="8"/>
  <c r="S38" i="8"/>
  <c r="V38" i="8"/>
  <c r="Y38" i="8"/>
  <c r="N30" i="8"/>
  <c r="Q30" i="8"/>
  <c r="T30" i="8"/>
  <c r="W30" i="8"/>
  <c r="Z30" i="8"/>
  <c r="Z24" i="8"/>
  <c r="W24" i="8"/>
  <c r="T24" i="8"/>
  <c r="Q24" i="8"/>
  <c r="N24" i="8"/>
  <c r="AC21" i="9" a="1"/>
  <c r="AC21" i="9" l="1"/>
  <c r="L21" i="9" s="1"/>
  <c r="I14" i="9"/>
  <c r="AB21" i="9" a="1"/>
  <c r="AD21" i="9" a="1"/>
  <c r="AD21" i="9" l="1"/>
  <c r="M21" i="9" s="1"/>
  <c r="AB21" i="9"/>
  <c r="K21" i="9" s="1"/>
  <c r="N21" i="9" l="1"/>
  <c r="Q36" i="9"/>
  <c r="P36" i="9"/>
  <c r="O36" i="9"/>
  <c r="Q35" i="9"/>
  <c r="P35" i="9"/>
  <c r="O35" i="9"/>
  <c r="Q34" i="9"/>
  <c r="P34" i="9"/>
  <c r="O34" i="9"/>
  <c r="R34" i="9" s="1"/>
  <c r="Q33" i="9"/>
  <c r="P33" i="9"/>
  <c r="O33" i="9"/>
  <c r="Q32" i="9"/>
  <c r="P32" i="9"/>
  <c r="O32" i="9"/>
  <c r="Q31" i="9"/>
  <c r="P31" i="9"/>
  <c r="O31" i="9"/>
  <c r="Q30" i="9"/>
  <c r="P30" i="9"/>
  <c r="O30" i="9"/>
  <c r="Q29" i="9"/>
  <c r="P29" i="9"/>
  <c r="O29" i="9"/>
  <c r="Q28" i="9"/>
  <c r="P28" i="9"/>
  <c r="O28" i="9"/>
  <c r="Q27" i="9"/>
  <c r="P27" i="9"/>
  <c r="O27" i="9"/>
  <c r="Q26" i="9"/>
  <c r="P26" i="9"/>
  <c r="O26" i="9"/>
  <c r="Q25" i="9"/>
  <c r="P25" i="9"/>
  <c r="O25" i="9"/>
  <c r="Q24" i="9"/>
  <c r="P24" i="9"/>
  <c r="R24" i="9" s="1"/>
  <c r="O24" i="9"/>
  <c r="Q23" i="9"/>
  <c r="P23" i="9"/>
  <c r="O23" i="9"/>
  <c r="Q22" i="9"/>
  <c r="P22" i="9"/>
  <c r="O22" i="9"/>
  <c r="Q21" i="9"/>
  <c r="U21" i="9" s="1"/>
  <c r="P21" i="9"/>
  <c r="T21" i="9" s="1"/>
  <c r="O21" i="9"/>
  <c r="S21" i="9" s="1"/>
  <c r="Q20" i="9"/>
  <c r="P20" i="9"/>
  <c r="O20" i="9"/>
  <c r="Q19" i="9"/>
  <c r="P19" i="9"/>
  <c r="O19" i="9"/>
  <c r="Q18" i="9"/>
  <c r="P18" i="9"/>
  <c r="O18" i="9"/>
  <c r="R18" i="9" s="1"/>
  <c r="Q17" i="9"/>
  <c r="P17" i="9"/>
  <c r="O17" i="9"/>
  <c r="Q16" i="9"/>
  <c r="P16" i="9"/>
  <c r="R16" i="9" s="1"/>
  <c r="O16" i="9"/>
  <c r="Q15" i="9"/>
  <c r="P15" i="9"/>
  <c r="O15" i="9"/>
  <c r="Q14" i="9"/>
  <c r="P14" i="9"/>
  <c r="O14" i="9"/>
  <c r="R14" i="9" s="1"/>
  <c r="Q13" i="9"/>
  <c r="P13" i="9"/>
  <c r="O13" i="9"/>
  <c r="Q12" i="9"/>
  <c r="P12" i="9"/>
  <c r="O12" i="9"/>
  <c r="Q11" i="9"/>
  <c r="P11" i="9"/>
  <c r="O11" i="9"/>
  <c r="Q10" i="9"/>
  <c r="P10" i="9"/>
  <c r="O10" i="9"/>
  <c r="Q9" i="9"/>
  <c r="P9" i="9"/>
  <c r="O9" i="9"/>
  <c r="Q8" i="9"/>
  <c r="P8" i="9"/>
  <c r="R8" i="9" s="1"/>
  <c r="O8" i="9"/>
  <c r="Q7" i="9"/>
  <c r="P7" i="9"/>
  <c r="O7" i="9"/>
  <c r="Q6" i="9"/>
  <c r="P6" i="9"/>
  <c r="O6" i="9"/>
  <c r="G36" i="9"/>
  <c r="F36" i="9"/>
  <c r="G35" i="9"/>
  <c r="F35" i="9"/>
  <c r="G34" i="9"/>
  <c r="F34" i="9"/>
  <c r="G33" i="9"/>
  <c r="F33" i="9"/>
  <c r="G32" i="9"/>
  <c r="F32" i="9"/>
  <c r="G31" i="9"/>
  <c r="F31" i="9"/>
  <c r="G30" i="9"/>
  <c r="F30" i="9"/>
  <c r="G29" i="9"/>
  <c r="F29" i="9"/>
  <c r="G28" i="9"/>
  <c r="F28" i="9"/>
  <c r="G27" i="9"/>
  <c r="F27" i="9"/>
  <c r="G26" i="9"/>
  <c r="F26" i="9"/>
  <c r="G25" i="9"/>
  <c r="F25" i="9"/>
  <c r="G24" i="9"/>
  <c r="F24" i="9"/>
  <c r="G23" i="9"/>
  <c r="F23" i="9"/>
  <c r="G22" i="9"/>
  <c r="F22" i="9"/>
  <c r="G20" i="9"/>
  <c r="F20" i="9"/>
  <c r="G19" i="9"/>
  <c r="F19" i="9"/>
  <c r="G18" i="9"/>
  <c r="F18" i="9"/>
  <c r="G17" i="9"/>
  <c r="F17" i="9"/>
  <c r="G16" i="9"/>
  <c r="F16" i="9"/>
  <c r="G15" i="9"/>
  <c r="F15" i="9"/>
  <c r="G14" i="9"/>
  <c r="F14" i="9"/>
  <c r="G13" i="9"/>
  <c r="F13" i="9"/>
  <c r="G12" i="9"/>
  <c r="F12" i="9"/>
  <c r="G11" i="9"/>
  <c r="F11" i="9"/>
  <c r="G10" i="9"/>
  <c r="F10" i="9"/>
  <c r="G9" i="9"/>
  <c r="F9" i="9"/>
  <c r="G8" i="9"/>
  <c r="F8" i="9"/>
  <c r="G7" i="9"/>
  <c r="F7" i="9"/>
  <c r="G6" i="9"/>
  <c r="F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6" i="9"/>
  <c r="R36" i="9"/>
  <c r="R31" i="9"/>
  <c r="R28" i="9"/>
  <c r="R17" i="9"/>
  <c r="R9" i="9"/>
  <c r="R6" i="9" l="1"/>
  <c r="R30" i="9"/>
  <c r="R15" i="9"/>
  <c r="R22" i="9"/>
  <c r="R12" i="9"/>
  <c r="R20" i="9"/>
  <c r="R25" i="9"/>
  <c r="R33" i="9"/>
  <c r="R32" i="9"/>
  <c r="R7" i="9"/>
  <c r="R10" i="9"/>
  <c r="R23" i="9"/>
  <c r="R26" i="9"/>
  <c r="O37" i="9"/>
  <c r="Q37" i="9"/>
  <c r="R19" i="9"/>
  <c r="R21" i="9"/>
  <c r="V21" i="9" s="1"/>
  <c r="R27" i="9"/>
  <c r="R29" i="9"/>
  <c r="R35" i="9"/>
  <c r="R11" i="9"/>
  <c r="R13" i="9"/>
  <c r="P37" i="9"/>
  <c r="AD33" i="9" a="1"/>
  <c r="AB36" i="9" a="1"/>
  <c r="AB31" i="9" a="1"/>
  <c r="AC30" i="9" a="1"/>
  <c r="AB22" i="9" a="1"/>
  <c r="AC33" i="9" a="1"/>
  <c r="AD26" i="9" a="1"/>
  <c r="AC28" i="9" a="1"/>
  <c r="AB35" i="9" a="1"/>
  <c r="AD36" i="9" a="1"/>
  <c r="AB30" i="9" a="1"/>
  <c r="AD24" i="9" a="1"/>
  <c r="AB27" i="9" a="1"/>
  <c r="AB34" i="9" a="1"/>
  <c r="AC29" i="9" a="1"/>
  <c r="AB32" i="9" a="1"/>
  <c r="AD30" i="9" a="1"/>
  <c r="AD29" i="9" a="1"/>
  <c r="AD35" i="9" a="1"/>
  <c r="AD23" i="9" a="1"/>
  <c r="AB33" i="9" a="1"/>
  <c r="AD34" i="9" a="1"/>
  <c r="AC22" i="9" a="1"/>
  <c r="AD28" i="9" a="1"/>
  <c r="AC36" i="9" a="1"/>
  <c r="AD22" i="9" a="1"/>
  <c r="AB29" i="9" a="1"/>
  <c r="AC26" i="9" a="1"/>
  <c r="AD27" i="9" a="1"/>
  <c r="AC25" i="9" a="1"/>
  <c r="AC23" i="9" a="1"/>
  <c r="AB26" i="9" a="1"/>
  <c r="AD25" i="9" a="1"/>
  <c r="AD31" i="9" a="1"/>
  <c r="AC32" i="9" a="1"/>
  <c r="AB24" i="9" a="1"/>
  <c r="AB23" i="9" a="1"/>
  <c r="AC35" i="9" a="1"/>
  <c r="AB28" i="9" a="1"/>
  <c r="AC31" i="9" a="1"/>
  <c r="AC34" i="9" a="1"/>
  <c r="AB25" i="9" a="1"/>
  <c r="AD32" i="9" a="1"/>
  <c r="AC27" i="9" a="1"/>
  <c r="AC24" i="9" a="1"/>
  <c r="AD29" i="9" l="1"/>
  <c r="M29" i="9" s="1"/>
  <c r="U29" i="9" s="1"/>
  <c r="AD36" i="9"/>
  <c r="M36" i="9" s="1"/>
  <c r="U36" i="9" s="1"/>
  <c r="AD32" i="9"/>
  <c r="M32" i="9" s="1"/>
  <c r="U32" i="9" s="1"/>
  <c r="AD22" i="9"/>
  <c r="M22" i="9" s="1"/>
  <c r="U22" i="9" s="1"/>
  <c r="AD28" i="9"/>
  <c r="M28" i="9" s="1"/>
  <c r="U28" i="9" s="1"/>
  <c r="AD27" i="9"/>
  <c r="M27" i="9" s="1"/>
  <c r="U27" i="9" s="1"/>
  <c r="AD33" i="9"/>
  <c r="M33" i="9" s="1"/>
  <c r="U33" i="9" s="1"/>
  <c r="AD25" i="9"/>
  <c r="M25" i="9" s="1"/>
  <c r="U25" i="9" s="1"/>
  <c r="AD35" i="9"/>
  <c r="M35" i="9" s="1"/>
  <c r="U35" i="9" s="1"/>
  <c r="AD30" i="9"/>
  <c r="M30" i="9" s="1"/>
  <c r="U30" i="9" s="1"/>
  <c r="AD31" i="9"/>
  <c r="M31" i="9" s="1"/>
  <c r="U31" i="9" s="1"/>
  <c r="AD34" i="9"/>
  <c r="M34" i="9" s="1"/>
  <c r="U34" i="9" s="1"/>
  <c r="AD24" i="9"/>
  <c r="M24" i="9" s="1"/>
  <c r="U24" i="9" s="1"/>
  <c r="AD23" i="9"/>
  <c r="M23" i="9" s="1"/>
  <c r="U23" i="9" s="1"/>
  <c r="AD26" i="9"/>
  <c r="M26" i="9" s="1"/>
  <c r="U26" i="9" s="1"/>
  <c r="AC34" i="9"/>
  <c r="L34" i="9" s="1"/>
  <c r="T34" i="9" s="1"/>
  <c r="AC36" i="9"/>
  <c r="L36" i="9" s="1"/>
  <c r="T36" i="9" s="1"/>
  <c r="AC27" i="9"/>
  <c r="L27" i="9" s="1"/>
  <c r="T27" i="9" s="1"/>
  <c r="AC32" i="9"/>
  <c r="L32" i="9" s="1"/>
  <c r="T32" i="9" s="1"/>
  <c r="AC30" i="9"/>
  <c r="L30" i="9" s="1"/>
  <c r="T30" i="9" s="1"/>
  <c r="AC33" i="9"/>
  <c r="L33" i="9" s="1"/>
  <c r="T33" i="9" s="1"/>
  <c r="AC22" i="9"/>
  <c r="L22" i="9" s="1"/>
  <c r="T22" i="9" s="1"/>
  <c r="AC29" i="9"/>
  <c r="L29" i="9" s="1"/>
  <c r="T29" i="9" s="1"/>
  <c r="AC35" i="9"/>
  <c r="L35" i="9" s="1"/>
  <c r="T35" i="9" s="1"/>
  <c r="AC24" i="9"/>
  <c r="L24" i="9" s="1"/>
  <c r="T24" i="9" s="1"/>
  <c r="AC31" i="9"/>
  <c r="L31" i="9" s="1"/>
  <c r="T31" i="9" s="1"/>
  <c r="AC26" i="9"/>
  <c r="L26" i="9" s="1"/>
  <c r="T26" i="9" s="1"/>
  <c r="AC23" i="9"/>
  <c r="L23" i="9" s="1"/>
  <c r="T23" i="9" s="1"/>
  <c r="AC25" i="9"/>
  <c r="L25" i="9" s="1"/>
  <c r="T25" i="9" s="1"/>
  <c r="AC28" i="9"/>
  <c r="L28" i="9" s="1"/>
  <c r="T28" i="9" s="1"/>
  <c r="AB36" i="9"/>
  <c r="K36" i="9" s="1"/>
  <c r="S36" i="9" s="1"/>
  <c r="AB24" i="9"/>
  <c r="K24" i="9" s="1"/>
  <c r="S24" i="9" s="1"/>
  <c r="AB29" i="9"/>
  <c r="K29" i="9" s="1"/>
  <c r="S29" i="9" s="1"/>
  <c r="AB35" i="9"/>
  <c r="K35" i="9" s="1"/>
  <c r="S35" i="9" s="1"/>
  <c r="AB23" i="9"/>
  <c r="K23" i="9" s="1"/>
  <c r="S23" i="9" s="1"/>
  <c r="AB30" i="9"/>
  <c r="K30" i="9" s="1"/>
  <c r="S30" i="9" s="1"/>
  <c r="AB34" i="9"/>
  <c r="K34" i="9" s="1"/>
  <c r="S34" i="9" s="1"/>
  <c r="AB32" i="9"/>
  <c r="K32" i="9" s="1"/>
  <c r="S32" i="9" s="1"/>
  <c r="AB25" i="9"/>
  <c r="K25" i="9" s="1"/>
  <c r="S25" i="9" s="1"/>
  <c r="AB31" i="9"/>
  <c r="K31" i="9" s="1"/>
  <c r="S31" i="9" s="1"/>
  <c r="AB26" i="9"/>
  <c r="K26" i="9" s="1"/>
  <c r="S26" i="9" s="1"/>
  <c r="AB22" i="9"/>
  <c r="K22" i="9" s="1"/>
  <c r="S22" i="9" s="1"/>
  <c r="AB28" i="9"/>
  <c r="K28" i="9" s="1"/>
  <c r="S28" i="9" s="1"/>
  <c r="AB33" i="9"/>
  <c r="K33" i="9" s="1"/>
  <c r="S33" i="9" s="1"/>
  <c r="AB27" i="9"/>
  <c r="K27" i="9" s="1"/>
  <c r="S27" i="9" s="1"/>
  <c r="R37" i="9"/>
  <c r="N57" i="7"/>
  <c r="N54" i="7"/>
  <c r="N47" i="7"/>
  <c r="M57" i="7"/>
  <c r="M54" i="7"/>
  <c r="M47" i="7"/>
  <c r="N14" i="7"/>
  <c r="M14" i="7"/>
  <c r="K57" i="7"/>
  <c r="K47" i="7"/>
  <c r="L47" i="7"/>
  <c r="L54" i="7"/>
  <c r="J54" i="7"/>
  <c r="I54" i="7"/>
  <c r="H54" i="7"/>
  <c r="G54" i="7"/>
  <c r="J47" i="7"/>
  <c r="I47" i="7"/>
  <c r="H47" i="7"/>
  <c r="F54" i="7"/>
  <c r="G14" i="7"/>
  <c r="I64" i="7" l="1"/>
  <c r="N34" i="9"/>
  <c r="V34" i="9" s="1"/>
  <c r="N36" i="9"/>
  <c r="V36" i="9" s="1"/>
  <c r="N24" i="9"/>
  <c r="V24" i="9" s="1"/>
  <c r="N30" i="9"/>
  <c r="V30" i="9" s="1"/>
  <c r="N23" i="9"/>
  <c r="V23" i="9" s="1"/>
  <c r="N33" i="9"/>
  <c r="V33" i="9" s="1"/>
  <c r="N28" i="9"/>
  <c r="V28" i="9" s="1"/>
  <c r="N29" i="9"/>
  <c r="V29" i="9" s="1"/>
  <c r="N26" i="9"/>
  <c r="V26" i="9" s="1"/>
  <c r="N35" i="9"/>
  <c r="V35" i="9" s="1"/>
  <c r="N25" i="9"/>
  <c r="V25" i="9" s="1"/>
  <c r="N32" i="9"/>
  <c r="V32" i="9" s="1"/>
  <c r="N31" i="9"/>
  <c r="V31" i="9" s="1"/>
  <c r="N27" i="9"/>
  <c r="V27" i="9" s="1"/>
  <c r="N22" i="9"/>
  <c r="V22" i="9" s="1"/>
  <c r="G75" i="1"/>
  <c r="I19" i="7"/>
  <c r="I14" i="7"/>
  <c r="C7" i="3"/>
  <c r="C6" i="3"/>
  <c r="C5" i="3"/>
  <c r="J47" i="6" l="1"/>
  <c r="E63" i="7"/>
  <c r="N63" i="7" s="1"/>
  <c r="E62" i="7"/>
  <c r="N62" i="7" s="1"/>
  <c r="E61" i="7"/>
  <c r="N61" i="7" s="1"/>
  <c r="E60" i="7"/>
  <c r="N60" i="7" s="1"/>
  <c r="N64" i="7" s="1"/>
  <c r="E58" i="7"/>
  <c r="E57" i="7"/>
  <c r="E56" i="7"/>
  <c r="K56" i="7" s="1"/>
  <c r="E55" i="7"/>
  <c r="K55" i="7" s="1"/>
  <c r="K54" i="7" s="1"/>
  <c r="K64" i="7" s="1"/>
  <c r="E53" i="7"/>
  <c r="E52" i="7"/>
  <c r="E51" i="7"/>
  <c r="E50" i="7"/>
  <c r="E49" i="7"/>
  <c r="F49" i="7" s="1"/>
  <c r="F47" i="7" s="1"/>
  <c r="E48" i="7"/>
  <c r="G48" i="7" s="1"/>
  <c r="G47" i="7" s="1"/>
  <c r="E46" i="7"/>
  <c r="F46" i="7" s="1"/>
  <c r="M58" i="7" l="1"/>
  <c r="M64" i="7" s="1"/>
  <c r="G50" i="7"/>
  <c r="G64" i="7" s="1"/>
  <c r="L57" i="7"/>
  <c r="L64" i="7" s="1"/>
  <c r="J52" i="7"/>
  <c r="J64" i="7" s="1"/>
  <c r="F12" i="7"/>
  <c r="H51" i="7"/>
  <c r="H53" i="7"/>
  <c r="N48" i="6"/>
  <c r="N45" i="6"/>
  <c r="N46" i="6"/>
  <c r="P46" i="6" s="1"/>
  <c r="N44" i="6"/>
  <c r="E48" i="6"/>
  <c r="L25" i="6" s="1"/>
  <c r="L47" i="6"/>
  <c r="K50" i="6"/>
  <c r="K52" i="6" s="1"/>
  <c r="F14" i="7" l="1"/>
  <c r="O12" i="7"/>
  <c r="H64" i="7"/>
  <c r="P45" i="6"/>
  <c r="Q45" i="6" s="1"/>
  <c r="Q46" i="6"/>
  <c r="P44" i="6"/>
  <c r="P48" i="6"/>
  <c r="Q48" i="6" s="1"/>
  <c r="N47" i="6"/>
  <c r="N50" i="6" s="1"/>
  <c r="L29" i="6"/>
  <c r="L30" i="6"/>
  <c r="L16" i="6"/>
  <c r="L35" i="6"/>
  <c r="L19" i="6"/>
  <c r="L39" i="6"/>
  <c r="L20" i="6"/>
  <c r="L40" i="6"/>
  <c r="L24" i="6"/>
  <c r="L48" i="6"/>
  <c r="M48" i="6" s="1"/>
  <c r="L34" i="6"/>
  <c r="F50" i="6"/>
  <c r="C56" i="8" l="1"/>
  <c r="P12" i="7"/>
  <c r="P47" i="6"/>
  <c r="Q44" i="6"/>
  <c r="Q47" i="6" s="1"/>
  <c r="L41" i="6"/>
  <c r="L36" i="6"/>
  <c r="L17" i="6"/>
  <c r="L21" i="6"/>
  <c r="L26" i="6"/>
  <c r="L31" i="6"/>
  <c r="F52" i="6"/>
  <c r="E45" i="6"/>
  <c r="E46" i="6"/>
  <c r="E44" i="6"/>
  <c r="G25" i="6" l="1"/>
  <c r="E47" i="6"/>
  <c r="E50" i="6" s="1"/>
  <c r="I46" i="6"/>
  <c r="M46" i="6" s="1"/>
  <c r="I45" i="6"/>
  <c r="L50" i="6"/>
  <c r="L52" i="6" s="1"/>
  <c r="G30" i="6"/>
  <c r="G16" i="6"/>
  <c r="G35" i="6"/>
  <c r="G19" i="6"/>
  <c r="G39" i="6"/>
  <c r="G29" i="6"/>
  <c r="G34" i="6"/>
  <c r="G20" i="6"/>
  <c r="G40" i="6"/>
  <c r="G24" i="6"/>
  <c r="G44" i="6"/>
  <c r="G47" i="6" s="1"/>
  <c r="Z42" i="3"/>
  <c r="AF43" i="3"/>
  <c r="AE43" i="3"/>
  <c r="AD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J43" i="3"/>
  <c r="AB43" i="3" l="1"/>
  <c r="N36" i="7"/>
  <c r="N37" i="7" s="1"/>
  <c r="N30" i="7"/>
  <c r="N31" i="7" s="1"/>
  <c r="N24" i="7"/>
  <c r="N25" i="7" s="1"/>
  <c r="N66" i="7" s="1"/>
  <c r="N18" i="7"/>
  <c r="N19" i="7" s="1"/>
  <c r="N42" i="7"/>
  <c r="N43" i="7" s="1"/>
  <c r="I43" i="7"/>
  <c r="I25" i="7"/>
  <c r="I31" i="7"/>
  <c r="I37" i="7"/>
  <c r="M36" i="7"/>
  <c r="M37" i="7" s="1"/>
  <c r="M30" i="7"/>
  <c r="M31" i="7" s="1"/>
  <c r="M24" i="7"/>
  <c r="M25" i="7" s="1"/>
  <c r="M42" i="7"/>
  <c r="M43" i="7" s="1"/>
  <c r="M18" i="7"/>
  <c r="M19" i="7" s="1"/>
  <c r="I47" i="6"/>
  <c r="M45" i="6"/>
  <c r="G31" i="6"/>
  <c r="G21" i="6"/>
  <c r="G36" i="6"/>
  <c r="G26" i="6"/>
  <c r="G17" i="6"/>
  <c r="M44" i="6"/>
  <c r="G41" i="6"/>
  <c r="AG43" i="3"/>
  <c r="G62" i="1" s="1"/>
  <c r="I66" i="7" l="1"/>
  <c r="J13" i="7" s="1"/>
  <c r="J14" i="7" s="1"/>
  <c r="M66" i="7"/>
  <c r="M47" i="6"/>
  <c r="G50" i="6"/>
  <c r="G52" i="6" s="1"/>
  <c r="H20" i="6"/>
  <c r="I20" i="6" s="1"/>
  <c r="H39" i="6"/>
  <c r="I39" i="6" s="1"/>
  <c r="H19" i="6"/>
  <c r="I19" i="6" s="1"/>
  <c r="J19" i="6" s="1"/>
  <c r="H16" i="6"/>
  <c r="H24" i="6"/>
  <c r="I24" i="6" s="1"/>
  <c r="H35" i="6"/>
  <c r="I35" i="6" s="1"/>
  <c r="H34" i="6"/>
  <c r="I34" i="6" s="1"/>
  <c r="H25" i="6"/>
  <c r="I25" i="6" s="1"/>
  <c r="H30" i="6"/>
  <c r="I30" i="6" s="1"/>
  <c r="H29" i="6"/>
  <c r="I29" i="6" s="1"/>
  <c r="J29" i="6" s="1"/>
  <c r="H40" i="6"/>
  <c r="I40" i="6" s="1"/>
  <c r="Q23" i="5"/>
  <c r="F23" i="5"/>
  <c r="F24" i="5" s="1"/>
  <c r="Q15" i="5"/>
  <c r="Q14" i="5"/>
  <c r="M35" i="6" l="1"/>
  <c r="J35" i="6"/>
  <c r="M24" i="6"/>
  <c r="J24" i="6"/>
  <c r="M40" i="6"/>
  <c r="J40" i="6"/>
  <c r="M39" i="6"/>
  <c r="J39" i="6"/>
  <c r="M30" i="6"/>
  <c r="J30" i="6"/>
  <c r="M20" i="6"/>
  <c r="J20" i="6"/>
  <c r="M25" i="6"/>
  <c r="J25" i="6"/>
  <c r="M34" i="6"/>
  <c r="J34" i="6"/>
  <c r="I21" i="6"/>
  <c r="M19" i="6"/>
  <c r="I31" i="6"/>
  <c r="M29" i="6"/>
  <c r="I26" i="6"/>
  <c r="I36" i="6"/>
  <c r="I41" i="6"/>
  <c r="H50" i="6"/>
  <c r="H52" i="6" s="1"/>
  <c r="I16" i="6"/>
  <c r="J16" i="6" s="1"/>
  <c r="M41" i="3"/>
  <c r="Z41" i="3"/>
  <c r="Q24" i="5"/>
  <c r="M26" i="6" l="1"/>
  <c r="M36" i="6"/>
  <c r="M41" i="6"/>
  <c r="J21" i="6"/>
  <c r="J17" i="7" s="1"/>
  <c r="J17" i="6"/>
  <c r="J36" i="6"/>
  <c r="J35" i="7" s="1"/>
  <c r="J41" i="6"/>
  <c r="J42" i="7" s="1"/>
  <c r="J26" i="6"/>
  <c r="J23" i="7" s="1"/>
  <c r="J31" i="6"/>
  <c r="J29" i="7" s="1"/>
  <c r="M31" i="6"/>
  <c r="M21" i="6"/>
  <c r="I17" i="6"/>
  <c r="I50" i="6" s="1"/>
  <c r="I52" i="6" s="1"/>
  <c r="M16" i="6"/>
  <c r="F6" i="5"/>
  <c r="F4" i="5"/>
  <c r="F5" i="5" s="1"/>
  <c r="N43" i="3"/>
  <c r="E3" i="4" s="1"/>
  <c r="F3" i="4" s="1"/>
  <c r="K43" i="3"/>
  <c r="G61" i="1"/>
  <c r="G49" i="1"/>
  <c r="G54" i="1" s="1"/>
  <c r="G42" i="1"/>
  <c r="G11" i="1"/>
  <c r="O13" i="3" l="1"/>
  <c r="P13" i="3" s="1"/>
  <c r="O41" i="3"/>
  <c r="P41" i="3" s="1"/>
  <c r="Q41" i="3" s="1"/>
  <c r="R41" i="3" s="1"/>
  <c r="J18" i="7"/>
  <c r="J19" i="7" s="1"/>
  <c r="J41" i="7"/>
  <c r="J43" i="7" s="1"/>
  <c r="J24" i="7"/>
  <c r="J25" i="7" s="1"/>
  <c r="J30" i="7"/>
  <c r="J31" i="7" s="1"/>
  <c r="J36" i="7"/>
  <c r="J37" i="7" s="1"/>
  <c r="J50" i="6"/>
  <c r="E47" i="7"/>
  <c r="G63" i="1"/>
  <c r="G60" i="1" s="1"/>
  <c r="M17" i="6"/>
  <c r="M50" i="6" s="1"/>
  <c r="M24" i="3"/>
  <c r="Z24" i="3"/>
  <c r="M23" i="3"/>
  <c r="Z23" i="3"/>
  <c r="M40" i="3"/>
  <c r="Z40" i="3"/>
  <c r="M22" i="3"/>
  <c r="Z22" i="3"/>
  <c r="M14" i="3"/>
  <c r="Z14" i="3"/>
  <c r="M34" i="3"/>
  <c r="Z34" i="3"/>
  <c r="M25" i="3"/>
  <c r="Z25" i="3"/>
  <c r="M36" i="3"/>
  <c r="Z36" i="3"/>
  <c r="M15" i="3"/>
  <c r="Z15" i="3"/>
  <c r="M29" i="3"/>
  <c r="Z29" i="3"/>
  <c r="M21" i="3"/>
  <c r="Z21" i="3"/>
  <c r="M13" i="3"/>
  <c r="Z13" i="3"/>
  <c r="M33" i="3"/>
  <c r="Z33" i="3"/>
  <c r="M37" i="3"/>
  <c r="Z37" i="3"/>
  <c r="M27" i="3"/>
  <c r="Z27" i="3"/>
  <c r="M19" i="3"/>
  <c r="Z19" i="3"/>
  <c r="M39" i="3"/>
  <c r="Z39" i="3"/>
  <c r="M31" i="3"/>
  <c r="Z31" i="3"/>
  <c r="M17" i="3"/>
  <c r="Z17" i="3"/>
  <c r="M16" i="3"/>
  <c r="Z16" i="3"/>
  <c r="M35" i="3"/>
  <c r="Z35" i="3"/>
  <c r="M28" i="3"/>
  <c r="Z28" i="3"/>
  <c r="M20" i="3"/>
  <c r="Z20" i="3"/>
  <c r="M32" i="3"/>
  <c r="Z32" i="3"/>
  <c r="M26" i="3"/>
  <c r="Z26" i="3"/>
  <c r="M18" i="3"/>
  <c r="Z18" i="3"/>
  <c r="M38" i="3"/>
  <c r="Z38" i="3"/>
  <c r="M30" i="3"/>
  <c r="Z30" i="3"/>
  <c r="M12" i="3"/>
  <c r="Z12" i="3"/>
  <c r="Q13" i="3"/>
  <c r="R13" i="3" s="1"/>
  <c r="F7" i="5"/>
  <c r="O20" i="3"/>
  <c r="P20" i="3" s="1"/>
  <c r="O35" i="3"/>
  <c r="P35" i="3" s="1"/>
  <c r="O27" i="3"/>
  <c r="P27" i="3" s="1"/>
  <c r="O19" i="3"/>
  <c r="P19" i="3" s="1"/>
  <c r="O12" i="3"/>
  <c r="P12" i="3" s="1"/>
  <c r="O18" i="3"/>
  <c r="P18" i="3" s="1"/>
  <c r="O33" i="3"/>
  <c r="P33" i="3" s="1"/>
  <c r="O25" i="3"/>
  <c r="P25" i="3" s="1"/>
  <c r="O17" i="3"/>
  <c r="P17" i="3" s="1"/>
  <c r="O36" i="3"/>
  <c r="P36" i="3" s="1"/>
  <c r="O34" i="3"/>
  <c r="P34" i="3" s="1"/>
  <c r="O40" i="3"/>
  <c r="P40" i="3" s="1"/>
  <c r="O32" i="3"/>
  <c r="P32" i="3" s="1"/>
  <c r="O24" i="3"/>
  <c r="P24" i="3" s="1"/>
  <c r="O16" i="3"/>
  <c r="P16" i="3" s="1"/>
  <c r="O26" i="3"/>
  <c r="P26" i="3" s="1"/>
  <c r="O39" i="3"/>
  <c r="P39" i="3" s="1"/>
  <c r="O31" i="3"/>
  <c r="P31" i="3" s="1"/>
  <c r="O23" i="3"/>
  <c r="P23" i="3" s="1"/>
  <c r="O15" i="3"/>
  <c r="P15" i="3" s="1"/>
  <c r="O28" i="3"/>
  <c r="P28" i="3" s="1"/>
  <c r="O38" i="3"/>
  <c r="P38" i="3" s="1"/>
  <c r="O30" i="3"/>
  <c r="P30" i="3" s="1"/>
  <c r="O22" i="3"/>
  <c r="P22" i="3" s="1"/>
  <c r="O14" i="3"/>
  <c r="P14" i="3" s="1"/>
  <c r="O37" i="3"/>
  <c r="P37" i="3" s="1"/>
  <c r="O29" i="3"/>
  <c r="P29" i="3" s="1"/>
  <c r="O21" i="3"/>
  <c r="P21" i="3" s="1"/>
  <c r="L43" i="3"/>
  <c r="G47" i="1"/>
  <c r="G57" i="1" s="1"/>
  <c r="G24" i="1"/>
  <c r="G18" i="1"/>
  <c r="G9" i="1" l="1"/>
  <c r="E54" i="7"/>
  <c r="J66" i="7"/>
  <c r="O16" i="6"/>
  <c r="P16" i="6" s="1"/>
  <c r="K18" i="7"/>
  <c r="K30" i="7"/>
  <c r="L17" i="7"/>
  <c r="L24" i="7"/>
  <c r="L18" i="7"/>
  <c r="L30" i="7"/>
  <c r="K42" i="7"/>
  <c r="K35" i="7"/>
  <c r="L42" i="7"/>
  <c r="L35" i="7"/>
  <c r="L36" i="7"/>
  <c r="K17" i="7"/>
  <c r="K29" i="7"/>
  <c r="K23" i="7"/>
  <c r="L29" i="7"/>
  <c r="L41" i="7"/>
  <c r="L23" i="7"/>
  <c r="K36" i="7"/>
  <c r="K41" i="7"/>
  <c r="K24" i="7"/>
  <c r="L13" i="7"/>
  <c r="L14" i="7" s="1"/>
  <c r="K13" i="7"/>
  <c r="K14" i="7" s="1"/>
  <c r="H29" i="7"/>
  <c r="H17" i="7"/>
  <c r="H18" i="7"/>
  <c r="H41" i="7"/>
  <c r="H42" i="7"/>
  <c r="H23" i="7"/>
  <c r="H13" i="7"/>
  <c r="H36" i="7"/>
  <c r="O36" i="7" s="1"/>
  <c r="H24" i="7"/>
  <c r="H30" i="7"/>
  <c r="H35" i="7"/>
  <c r="E64" i="7"/>
  <c r="E66" i="7" s="1"/>
  <c r="F64" i="7"/>
  <c r="M43" i="3"/>
  <c r="Q7" i="5" s="1"/>
  <c r="M52" i="6"/>
  <c r="R24" i="6"/>
  <c r="O40" i="6"/>
  <c r="P40" i="6" s="1"/>
  <c r="Q40" i="6" s="1"/>
  <c r="R35" i="6"/>
  <c r="O34" i="6"/>
  <c r="P34" i="6" s="1"/>
  <c r="R25" i="6"/>
  <c r="O24" i="6"/>
  <c r="P24" i="6" s="1"/>
  <c r="O25" i="6"/>
  <c r="P25" i="6" s="1"/>
  <c r="Q25" i="6" s="1"/>
  <c r="R40" i="6"/>
  <c r="O30" i="6"/>
  <c r="P30" i="6" s="1"/>
  <c r="Q30" i="6" s="1"/>
  <c r="O35" i="6"/>
  <c r="P35" i="6" s="1"/>
  <c r="Q35" i="6" s="1"/>
  <c r="R39" i="6"/>
  <c r="R34" i="6"/>
  <c r="O39" i="6"/>
  <c r="P39" i="6" s="1"/>
  <c r="R20" i="6"/>
  <c r="R30" i="6"/>
  <c r="O20" i="6"/>
  <c r="P20" i="6" s="1"/>
  <c r="Q20" i="6" s="1"/>
  <c r="O29" i="6"/>
  <c r="P29" i="6" s="1"/>
  <c r="R19" i="6"/>
  <c r="R29" i="6"/>
  <c r="O19" i="6"/>
  <c r="P19" i="6" s="1"/>
  <c r="R16" i="6"/>
  <c r="R17" i="6" s="1"/>
  <c r="Q40" i="3"/>
  <c r="R40" i="3" s="1"/>
  <c r="Q29" i="3"/>
  <c r="R29" i="3" s="1"/>
  <c r="Q31" i="3"/>
  <c r="R31" i="3" s="1"/>
  <c r="Q36" i="3"/>
  <c r="R36" i="3" s="1"/>
  <c r="Q35" i="3"/>
  <c r="R35" i="3" s="1"/>
  <c r="Q34" i="3"/>
  <c r="R34" i="3" s="1"/>
  <c r="Q39" i="3"/>
  <c r="R39" i="3" s="1"/>
  <c r="Q20" i="3"/>
  <c r="R20" i="3" s="1"/>
  <c r="Q25" i="5" s="1"/>
  <c r="Q26" i="5" s="1"/>
  <c r="Q29" i="5" s="1"/>
  <c r="Q30" i="5" s="1"/>
  <c r="Q15" i="3"/>
  <c r="R15" i="3" s="1"/>
  <c r="Q19" i="3"/>
  <c r="R19" i="3" s="1"/>
  <c r="Q37" i="3"/>
  <c r="R37" i="3" s="1"/>
  <c r="Q22" i="3"/>
  <c r="R22" i="3" s="1"/>
  <c r="Q26" i="3"/>
  <c r="R26" i="3" s="1"/>
  <c r="Q25" i="3"/>
  <c r="R25" i="3" s="1"/>
  <c r="Q23" i="3"/>
  <c r="R23" i="3" s="1"/>
  <c r="Q30" i="3"/>
  <c r="R30" i="3" s="1"/>
  <c r="Q16" i="3"/>
  <c r="R16" i="3" s="1"/>
  <c r="Q33" i="3"/>
  <c r="R33" i="3" s="1"/>
  <c r="Q21" i="3"/>
  <c r="R21" i="3" s="1"/>
  <c r="Q27" i="3"/>
  <c r="R27" i="3" s="1"/>
  <c r="Q38" i="3"/>
  <c r="R38" i="3" s="1"/>
  <c r="U38" i="3" s="1"/>
  <c r="V38" i="3" s="1"/>
  <c r="Q24" i="3"/>
  <c r="R24" i="3" s="1"/>
  <c r="Q18" i="3"/>
  <c r="R18" i="3" s="1"/>
  <c r="Q28" i="3"/>
  <c r="R28" i="3" s="1"/>
  <c r="Q32" i="3"/>
  <c r="R32" i="3" s="1"/>
  <c r="Q17" i="3"/>
  <c r="R17" i="3" s="1"/>
  <c r="F31" i="5"/>
  <c r="Q14" i="3"/>
  <c r="R14" i="3" s="1"/>
  <c r="F37" i="5"/>
  <c r="F25" i="5"/>
  <c r="S39" i="3" s="1"/>
  <c r="T39" i="3" s="1"/>
  <c r="W39" i="3" s="1"/>
  <c r="X39" i="3" s="1"/>
  <c r="Q12" i="3"/>
  <c r="R12" i="3" s="1"/>
  <c r="P43" i="3"/>
  <c r="O43" i="3"/>
  <c r="G66" i="1"/>
  <c r="U39" i="3" l="1"/>
  <c r="V39" i="3" s="1"/>
  <c r="U35" i="3"/>
  <c r="V35" i="3" s="1"/>
  <c r="U30" i="3"/>
  <c r="V30" i="3" s="1"/>
  <c r="U36" i="3"/>
  <c r="V36" i="3" s="1"/>
  <c r="U33" i="3"/>
  <c r="V33" i="3" s="1"/>
  <c r="U31" i="3"/>
  <c r="V31" i="3" s="1"/>
  <c r="U29" i="3"/>
  <c r="V29" i="3" s="1"/>
  <c r="U27" i="3"/>
  <c r="V27" i="3" s="1"/>
  <c r="U34" i="3"/>
  <c r="V34" i="3" s="1"/>
  <c r="U40" i="3"/>
  <c r="V40" i="3" s="1"/>
  <c r="U32" i="3"/>
  <c r="V32" i="3" s="1"/>
  <c r="U41" i="3"/>
  <c r="V41" i="3" s="1"/>
  <c r="U37" i="3"/>
  <c r="V37" i="3" s="1"/>
  <c r="U28" i="3"/>
  <c r="V28" i="3" s="1"/>
  <c r="K25" i="7"/>
  <c r="K31" i="7"/>
  <c r="L43" i="7"/>
  <c r="C84" i="8"/>
  <c r="K84" i="8" s="1"/>
  <c r="W84" i="8" s="1"/>
  <c r="W86" i="8" s="1"/>
  <c r="W89" i="8" s="1"/>
  <c r="P36" i="7"/>
  <c r="L37" i="7"/>
  <c r="L25" i="7"/>
  <c r="K19" i="7"/>
  <c r="K37" i="7"/>
  <c r="O24" i="7"/>
  <c r="K43" i="7"/>
  <c r="O42" i="7"/>
  <c r="L19" i="7"/>
  <c r="O18" i="7"/>
  <c r="O30" i="7"/>
  <c r="L31" i="7"/>
  <c r="H14" i="7"/>
  <c r="O13" i="7"/>
  <c r="H25" i="7"/>
  <c r="H43" i="7"/>
  <c r="H37" i="7"/>
  <c r="H19" i="7"/>
  <c r="H31" i="7"/>
  <c r="R36" i="6"/>
  <c r="R21" i="6"/>
  <c r="P21" i="6"/>
  <c r="Q19" i="6"/>
  <c r="P36" i="6"/>
  <c r="Q34" i="6"/>
  <c r="P41" i="6"/>
  <c r="Q39" i="6"/>
  <c r="R31" i="6"/>
  <c r="R41" i="6"/>
  <c r="P31" i="6"/>
  <c r="Q29" i="6"/>
  <c r="R26" i="6"/>
  <c r="P17" i="6"/>
  <c r="Q16" i="6"/>
  <c r="P26" i="6"/>
  <c r="Q24" i="6"/>
  <c r="O50" i="6"/>
  <c r="O52" i="6" s="1"/>
  <c r="G32" i="1"/>
  <c r="G30" i="1" s="1"/>
  <c r="G34" i="1" s="1"/>
  <c r="S27" i="3"/>
  <c r="T27" i="3" s="1"/>
  <c r="W27" i="3" s="1"/>
  <c r="X27" i="3" s="1"/>
  <c r="S31" i="3"/>
  <c r="T31" i="3" s="1"/>
  <c r="W31" i="3" s="1"/>
  <c r="X31" i="3" s="1"/>
  <c r="S35" i="3"/>
  <c r="T35" i="3" s="1"/>
  <c r="W35" i="3" s="1"/>
  <c r="X35" i="3" s="1"/>
  <c r="S32" i="3"/>
  <c r="T32" i="3" s="1"/>
  <c r="W32" i="3" s="1"/>
  <c r="X32" i="3" s="1"/>
  <c r="F26" i="5"/>
  <c r="F29" i="5" s="1"/>
  <c r="F30" i="5" s="1"/>
  <c r="S21" i="3" s="1"/>
  <c r="T21" i="3" s="1"/>
  <c r="S41" i="3"/>
  <c r="T41" i="3" s="1"/>
  <c r="W41" i="3" s="1"/>
  <c r="X41" i="3" s="1"/>
  <c r="S29" i="3"/>
  <c r="T29" i="3" s="1"/>
  <c r="W29" i="3" s="1"/>
  <c r="X29" i="3" s="1"/>
  <c r="S28" i="3"/>
  <c r="T28" i="3" s="1"/>
  <c r="W28" i="3" s="1"/>
  <c r="X28" i="3" s="1"/>
  <c r="S37" i="3"/>
  <c r="T37" i="3" s="1"/>
  <c r="W37" i="3" s="1"/>
  <c r="X37" i="3" s="1"/>
  <c r="S36" i="3"/>
  <c r="T36" i="3" s="1"/>
  <c r="W36" i="3" s="1"/>
  <c r="X36" i="3" s="1"/>
  <c r="S30" i="3"/>
  <c r="T30" i="3" s="1"/>
  <c r="W30" i="3" s="1"/>
  <c r="X30" i="3" s="1"/>
  <c r="S26" i="3"/>
  <c r="T26" i="3" s="1"/>
  <c r="W26" i="3" s="1"/>
  <c r="X26" i="3" s="1"/>
  <c r="S20" i="3"/>
  <c r="T20" i="3" s="1"/>
  <c r="S38" i="3"/>
  <c r="T38" i="3" s="1"/>
  <c r="W38" i="3" s="1"/>
  <c r="X38" i="3" s="1"/>
  <c r="S33" i="3"/>
  <c r="T33" i="3" s="1"/>
  <c r="W33" i="3" s="1"/>
  <c r="X33" i="3" s="1"/>
  <c r="S34" i="3"/>
  <c r="T34" i="3" s="1"/>
  <c r="W34" i="3" s="1"/>
  <c r="X34" i="3" s="1"/>
  <c r="S40" i="3"/>
  <c r="T40" i="3" s="1"/>
  <c r="W40" i="3" s="1"/>
  <c r="X40" i="3" s="1"/>
  <c r="S17" i="3"/>
  <c r="T17" i="3" s="1"/>
  <c r="Q31" i="5"/>
  <c r="F32" i="5"/>
  <c r="F35" i="5" s="1"/>
  <c r="F36" i="5" s="1"/>
  <c r="R43" i="3"/>
  <c r="Q43" i="3"/>
  <c r="F16" i="5" l="1"/>
  <c r="Q16" i="5" s="1"/>
  <c r="S12" i="3"/>
  <c r="K66" i="7"/>
  <c r="C83" i="8"/>
  <c r="K83" i="8" s="1"/>
  <c r="T83" i="8" s="1"/>
  <c r="T86" i="8" s="1"/>
  <c r="T89" i="8" s="1"/>
  <c r="P30" i="7"/>
  <c r="O14" i="7"/>
  <c r="C64" i="8"/>
  <c r="P13" i="7"/>
  <c r="P14" i="7" s="1"/>
  <c r="C81" i="8"/>
  <c r="P18" i="7"/>
  <c r="C82" i="8"/>
  <c r="K82" i="8" s="1"/>
  <c r="Q82" i="8" s="1"/>
  <c r="Q86" i="8" s="1"/>
  <c r="Q89" i="8" s="1"/>
  <c r="P24" i="7"/>
  <c r="C85" i="8"/>
  <c r="K85" i="8" s="1"/>
  <c r="Z85" i="8" s="1"/>
  <c r="Z86" i="8" s="1"/>
  <c r="Z89" i="8" s="1"/>
  <c r="P42" i="7"/>
  <c r="L66" i="7"/>
  <c r="H66" i="7"/>
  <c r="W21" i="3"/>
  <c r="X21" i="3" s="1"/>
  <c r="S14" i="3"/>
  <c r="T14" i="3" s="1"/>
  <c r="W14" i="3" s="1"/>
  <c r="X14" i="3" s="1"/>
  <c r="W20" i="3"/>
  <c r="X20" i="3" s="1"/>
  <c r="S24" i="3"/>
  <c r="T24" i="3" s="1"/>
  <c r="W24" i="3" s="1"/>
  <c r="X24" i="3" s="1"/>
  <c r="S22" i="3"/>
  <c r="T22" i="3" s="1"/>
  <c r="W22" i="3" s="1"/>
  <c r="X22" i="3" s="1"/>
  <c r="T12" i="3"/>
  <c r="W17" i="3"/>
  <c r="X17" i="3" s="1"/>
  <c r="S15" i="3"/>
  <c r="T15" i="3" s="1"/>
  <c r="W15" i="3" s="1"/>
  <c r="X15" i="3" s="1"/>
  <c r="S25" i="3"/>
  <c r="T25" i="3" s="1"/>
  <c r="W25" i="3" s="1"/>
  <c r="X25" i="3" s="1"/>
  <c r="S23" i="3"/>
  <c r="T23" i="3" s="1"/>
  <c r="W23" i="3" s="1"/>
  <c r="X23" i="3" s="1"/>
  <c r="S18" i="3"/>
  <c r="T18" i="3" s="1"/>
  <c r="W18" i="3" s="1"/>
  <c r="X18" i="3" s="1"/>
  <c r="S19" i="3"/>
  <c r="T19" i="3" s="1"/>
  <c r="W19" i="3" s="1"/>
  <c r="X19" i="3" s="1"/>
  <c r="S16" i="3"/>
  <c r="T16" i="3" s="1"/>
  <c r="W16" i="3" s="1"/>
  <c r="X16" i="3" s="1"/>
  <c r="S13" i="3"/>
  <c r="T13" i="3" s="1"/>
  <c r="W13" i="3" s="1"/>
  <c r="X13" i="3" s="1"/>
  <c r="R50" i="6"/>
  <c r="Q21" i="6"/>
  <c r="P50" i="6"/>
  <c r="P52" i="6" s="1"/>
  <c r="Q41" i="6"/>
  <c r="Q17" i="6"/>
  <c r="Q36" i="6"/>
  <c r="Q31" i="6"/>
  <c r="Q26" i="6"/>
  <c r="Q32" i="5"/>
  <c r="Q35" i="5" s="1"/>
  <c r="Q36" i="5" s="1"/>
  <c r="U19" i="3"/>
  <c r="V19" i="3" s="1"/>
  <c r="U24" i="3"/>
  <c r="V24" i="3" s="1"/>
  <c r="U18" i="3"/>
  <c r="V18" i="3" s="1"/>
  <c r="U22" i="3"/>
  <c r="V22" i="3" s="1"/>
  <c r="U21" i="3"/>
  <c r="V21" i="3" s="1"/>
  <c r="U25" i="3"/>
  <c r="V25" i="3" s="1"/>
  <c r="U20" i="3"/>
  <c r="V20" i="3" s="1"/>
  <c r="U23" i="3"/>
  <c r="V23" i="3" s="1"/>
  <c r="U26" i="3"/>
  <c r="V26" i="3" s="1"/>
  <c r="U17" i="3"/>
  <c r="V17" i="3" s="1"/>
  <c r="D28" i="8" l="1"/>
  <c r="D76" i="8" s="1"/>
  <c r="K81" i="8"/>
  <c r="C86" i="8"/>
  <c r="S42" i="3"/>
  <c r="S43" i="3" s="1"/>
  <c r="W12" i="3"/>
  <c r="X12" i="3" s="1"/>
  <c r="Q50" i="6"/>
  <c r="Q52" i="6" s="1"/>
  <c r="Q37" i="5"/>
  <c r="I21" i="5" s="1"/>
  <c r="Q4" i="5"/>
  <c r="Q10" i="5" s="1"/>
  <c r="N81" i="8" l="1"/>
  <c r="N86" i="8" s="1"/>
  <c r="N89" i="8" s="1"/>
  <c r="K86" i="8"/>
  <c r="T42" i="3"/>
  <c r="T43" i="3" s="1"/>
  <c r="U12" i="3"/>
  <c r="V12" i="3" s="1"/>
  <c r="U13" i="3"/>
  <c r="V13" i="3" s="1"/>
  <c r="U14" i="3"/>
  <c r="V14" i="3" s="1"/>
  <c r="U16" i="3"/>
  <c r="V16" i="3" s="1"/>
  <c r="Q5" i="5"/>
  <c r="Q6" i="5" s="1"/>
  <c r="Q11" i="5" s="1"/>
  <c r="U15" i="3"/>
  <c r="V15" i="3" s="1"/>
  <c r="K55" i="8" l="1"/>
  <c r="X55" i="8" s="1"/>
  <c r="X56" i="8" s="1"/>
  <c r="K52" i="8"/>
  <c r="O52" i="8" s="1"/>
  <c r="O56" i="8" s="1"/>
  <c r="K53" i="8"/>
  <c r="R53" i="8" s="1"/>
  <c r="R56" i="8" s="1"/>
  <c r="K54" i="8"/>
  <c r="U54" i="8" s="1"/>
  <c r="U56" i="8" s="1"/>
  <c r="K51" i="8"/>
  <c r="W42" i="3"/>
  <c r="W43" i="3" s="1"/>
  <c r="D29" i="8"/>
  <c r="D77" i="8" s="1"/>
  <c r="F40" i="7"/>
  <c r="O40" i="7" s="1"/>
  <c r="F22" i="7"/>
  <c r="O22" i="7" s="1"/>
  <c r="F34" i="7"/>
  <c r="O34" i="7" s="1"/>
  <c r="F28" i="7"/>
  <c r="O28" i="7" s="1"/>
  <c r="F16" i="7"/>
  <c r="O16" i="7" s="1"/>
  <c r="U42" i="3"/>
  <c r="C70" i="8" l="1"/>
  <c r="K70" i="8" s="1"/>
  <c r="U70" i="8" s="1"/>
  <c r="U72" i="8" s="1"/>
  <c r="U89" i="8" s="1"/>
  <c r="U91" i="8" s="1"/>
  <c r="U101" i="8" s="1"/>
  <c r="N107" i="8" s="1"/>
  <c r="P34" i="7"/>
  <c r="C71" i="8"/>
  <c r="K71" i="8" s="1"/>
  <c r="X71" i="8" s="1"/>
  <c r="X72" i="8" s="1"/>
  <c r="X89" i="8" s="1"/>
  <c r="X91" i="8" s="1"/>
  <c r="X101" i="8" s="1"/>
  <c r="N108" i="8" s="1"/>
  <c r="P40" i="7"/>
  <c r="C67" i="8"/>
  <c r="P16" i="7"/>
  <c r="C68" i="8"/>
  <c r="K68" i="8" s="1"/>
  <c r="O68" i="8" s="1"/>
  <c r="O72" i="8" s="1"/>
  <c r="O89" i="8" s="1"/>
  <c r="O91" i="8" s="1"/>
  <c r="O101" i="8" s="1"/>
  <c r="M107" i="8" s="1"/>
  <c r="P22" i="7"/>
  <c r="L51" i="8"/>
  <c r="L56" i="8" s="1"/>
  <c r="K56" i="8"/>
  <c r="C69" i="8"/>
  <c r="K69" i="8" s="1"/>
  <c r="R69" i="8" s="1"/>
  <c r="R72" i="8" s="1"/>
  <c r="R89" i="8" s="1"/>
  <c r="R91" i="8" s="1"/>
  <c r="R101" i="8" s="1"/>
  <c r="M108" i="8" s="1"/>
  <c r="P28" i="7"/>
  <c r="U43" i="3"/>
  <c r="V42" i="3"/>
  <c r="D27" i="8" s="1"/>
  <c r="K67" i="8" l="1"/>
  <c r="C72" i="8"/>
  <c r="E27" i="8"/>
  <c r="D75" i="8"/>
  <c r="D30" i="8"/>
  <c r="E28" i="8"/>
  <c r="E76" i="8"/>
  <c r="E29" i="8"/>
  <c r="E77" i="8"/>
  <c r="V43" i="3"/>
  <c r="AB12" i="9" a="1"/>
  <c r="AB11" i="9" a="1"/>
  <c r="AB18" i="9" a="1"/>
  <c r="AB9" i="9" a="1"/>
  <c r="AB6" i="9" a="1"/>
  <c r="AB13" i="9" a="1"/>
  <c r="AB8" i="9" a="1"/>
  <c r="AB10" i="9" a="1"/>
  <c r="AB7" i="9" a="1"/>
  <c r="K61" i="8" l="1"/>
  <c r="S61" i="8" s="1"/>
  <c r="S64" i="8" s="1"/>
  <c r="K59" i="8"/>
  <c r="K63" i="8"/>
  <c r="Y63" i="8" s="1"/>
  <c r="Y64" i="8" s="1"/>
  <c r="K62" i="8"/>
  <c r="V62" i="8" s="1"/>
  <c r="V64" i="8" s="1"/>
  <c r="K60" i="8"/>
  <c r="P60" i="8" s="1"/>
  <c r="P64" i="8" s="1"/>
  <c r="AB11" i="9"/>
  <c r="K11" i="9" s="1"/>
  <c r="S11" i="9" s="1"/>
  <c r="AB9" i="9"/>
  <c r="K9" i="9" s="1"/>
  <c r="S9" i="9" s="1"/>
  <c r="AB7" i="9"/>
  <c r="K7" i="9" s="1"/>
  <c r="S7" i="9" s="1"/>
  <c r="AB18" i="9"/>
  <c r="K18" i="9" s="1"/>
  <c r="S18" i="9" s="1"/>
  <c r="AB8" i="9"/>
  <c r="K8" i="9" s="1"/>
  <c r="S8" i="9" s="1"/>
  <c r="AB6" i="9"/>
  <c r="K6" i="9" s="1"/>
  <c r="S6" i="9" s="1"/>
  <c r="AB12" i="9"/>
  <c r="K12" i="9" s="1"/>
  <c r="S12" i="9" s="1"/>
  <c r="AB10" i="9"/>
  <c r="K10" i="9" s="1"/>
  <c r="S10" i="9" s="1"/>
  <c r="AB13" i="9"/>
  <c r="K13" i="9" s="1"/>
  <c r="S13" i="9" s="1"/>
  <c r="L67" i="8"/>
  <c r="L72" i="8" s="1"/>
  <c r="L89" i="8" s="1"/>
  <c r="L91" i="8" s="1"/>
  <c r="L101" i="8" s="1"/>
  <c r="K72" i="8"/>
  <c r="E75" i="8"/>
  <c r="D78" i="8"/>
  <c r="E30" i="8"/>
  <c r="F19" i="7"/>
  <c r="G35" i="7"/>
  <c r="G29" i="7"/>
  <c r="G23" i="7"/>
  <c r="G17" i="7"/>
  <c r="G41" i="7"/>
  <c r="F43" i="7"/>
  <c r="F31" i="7"/>
  <c r="F25" i="7"/>
  <c r="F37" i="7"/>
  <c r="M59" i="8" l="1"/>
  <c r="M64" i="8" s="1"/>
  <c r="K64" i="8"/>
  <c r="L108" i="8"/>
  <c r="L107" i="8"/>
  <c r="E78" i="8"/>
  <c r="G43" i="7"/>
  <c r="O41" i="7"/>
  <c r="O43" i="7" s="1"/>
  <c r="G19" i="7"/>
  <c r="O17" i="7"/>
  <c r="G25" i="7"/>
  <c r="O23" i="7"/>
  <c r="G31" i="7"/>
  <c r="O29" i="7"/>
  <c r="O31" i="7" s="1"/>
  <c r="G37" i="7"/>
  <c r="O35" i="7"/>
  <c r="F66" i="7"/>
  <c r="O25" i="7" l="1"/>
  <c r="C76" i="8"/>
  <c r="O19" i="7"/>
  <c r="C75" i="8"/>
  <c r="O37" i="7"/>
  <c r="C77" i="8"/>
  <c r="G66" i="7"/>
  <c r="AB17" i="9" a="1"/>
  <c r="AB20" i="9" a="1"/>
  <c r="AB15" i="9" a="1"/>
  <c r="AB14" i="9" a="1"/>
  <c r="AB16" i="9" a="1"/>
  <c r="AB19" i="9" a="1"/>
  <c r="AB19" i="9" l="1"/>
  <c r="K19" i="9" s="1"/>
  <c r="S19" i="9" s="1"/>
  <c r="AB15" i="9"/>
  <c r="K15" i="9" s="1"/>
  <c r="S15" i="9" s="1"/>
  <c r="AB20" i="9"/>
  <c r="K20" i="9" s="1"/>
  <c r="S20" i="9" s="1"/>
  <c r="AB17" i="9"/>
  <c r="K17" i="9" s="1"/>
  <c r="S17" i="9" s="1"/>
  <c r="AB16" i="9"/>
  <c r="K16" i="9" s="1"/>
  <c r="S16" i="9" s="1"/>
  <c r="AB14" i="9"/>
  <c r="K14" i="9" s="1"/>
  <c r="S14" i="9" s="1"/>
  <c r="O66" i="7"/>
  <c r="S24" i="6" s="1"/>
  <c r="T24" i="6" s="1"/>
  <c r="C78" i="8"/>
  <c r="C89" i="8" s="1"/>
  <c r="F75" i="8"/>
  <c r="K75" i="8" s="1"/>
  <c r="K37" i="9" l="1"/>
  <c r="S37" i="9" s="1"/>
  <c r="P17" i="7"/>
  <c r="P19" i="7" s="1"/>
  <c r="M75" i="8"/>
  <c r="M78" i="8" s="1"/>
  <c r="M89" i="8" s="1"/>
  <c r="S20" i="6"/>
  <c r="T20" i="6" s="1"/>
  <c r="S35" i="6"/>
  <c r="T35" i="6" s="1"/>
  <c r="S39" i="6"/>
  <c r="T39" i="6" s="1"/>
  <c r="S30" i="6"/>
  <c r="T30" i="6" s="1"/>
  <c r="S19" i="6"/>
  <c r="S25" i="6"/>
  <c r="T25" i="6" s="1"/>
  <c r="S29" i="6"/>
  <c r="S16" i="6"/>
  <c r="T16" i="6" s="1"/>
  <c r="S34" i="6"/>
  <c r="S40" i="6"/>
  <c r="T40" i="6" s="1"/>
  <c r="G76" i="8"/>
  <c r="T26" i="6" l="1"/>
  <c r="C34" i="8"/>
  <c r="K34" i="8" s="1"/>
  <c r="Q34" i="8" s="1"/>
  <c r="Q38" i="8" s="1"/>
  <c r="Q41" i="8" s="1"/>
  <c r="Q42" i="8" s="1"/>
  <c r="Q90" i="8" s="1"/>
  <c r="Q91" i="8" s="1"/>
  <c r="Q101" i="8" s="1"/>
  <c r="W107" i="8" s="1"/>
  <c r="U25" i="6"/>
  <c r="C37" i="8"/>
  <c r="K37" i="8" s="1"/>
  <c r="Z37" i="8" s="1"/>
  <c r="Z38" i="8" s="1"/>
  <c r="Z41" i="8" s="1"/>
  <c r="Z42" i="8" s="1"/>
  <c r="Z90" i="8" s="1"/>
  <c r="Z91" i="8" s="1"/>
  <c r="Z101" i="8" s="1"/>
  <c r="X108" i="8" s="1"/>
  <c r="U40" i="6"/>
  <c r="C35" i="8"/>
  <c r="K35" i="8" s="1"/>
  <c r="T35" i="8" s="1"/>
  <c r="T38" i="8" s="1"/>
  <c r="T41" i="8" s="1"/>
  <c r="T42" i="8" s="1"/>
  <c r="T90" i="8" s="1"/>
  <c r="T91" i="8" s="1"/>
  <c r="T101" i="8" s="1"/>
  <c r="W108" i="8" s="1"/>
  <c r="U30" i="6"/>
  <c r="C33" i="8"/>
  <c r="U20" i="6"/>
  <c r="C36" i="8"/>
  <c r="K36" i="8" s="1"/>
  <c r="W36" i="8" s="1"/>
  <c r="W38" i="8" s="1"/>
  <c r="W41" i="8" s="1"/>
  <c r="W42" i="8" s="1"/>
  <c r="W90" i="8" s="1"/>
  <c r="W91" i="8" s="1"/>
  <c r="W101" i="8" s="1"/>
  <c r="X107" i="8" s="1"/>
  <c r="U35" i="6"/>
  <c r="T17" i="6"/>
  <c r="C24" i="8"/>
  <c r="U16" i="6"/>
  <c r="U17" i="6" s="1"/>
  <c r="S21" i="6"/>
  <c r="S17" i="6"/>
  <c r="S36" i="6"/>
  <c r="S31" i="6"/>
  <c r="T34" i="6"/>
  <c r="C29" i="8" s="1"/>
  <c r="S26" i="6"/>
  <c r="T19" i="6"/>
  <c r="T21" i="6" s="1"/>
  <c r="T41" i="6"/>
  <c r="S41" i="6"/>
  <c r="T29" i="6"/>
  <c r="T31" i="6" s="1"/>
  <c r="H76" i="8"/>
  <c r="K76" i="8" s="1"/>
  <c r="K33" i="8" l="1"/>
  <c r="C38" i="8"/>
  <c r="K23" i="8"/>
  <c r="Y23" i="8" s="1"/>
  <c r="Y24" i="8" s="1"/>
  <c r="K22" i="8"/>
  <c r="V22" i="8" s="1"/>
  <c r="V24" i="8" s="1"/>
  <c r="K19" i="8"/>
  <c r="K20" i="8"/>
  <c r="P20" i="8" s="1"/>
  <c r="P24" i="8" s="1"/>
  <c r="K21" i="8"/>
  <c r="S21" i="8" s="1"/>
  <c r="S24" i="8" s="1"/>
  <c r="P76" i="8"/>
  <c r="P78" i="8" s="1"/>
  <c r="P89" i="8" s="1"/>
  <c r="S76" i="8"/>
  <c r="S78" i="8" s="1"/>
  <c r="S89" i="8" s="1"/>
  <c r="P29" i="7"/>
  <c r="P31" i="7" s="1"/>
  <c r="P23" i="7"/>
  <c r="P25" i="7" s="1"/>
  <c r="T36" i="6"/>
  <c r="T50" i="6" s="1"/>
  <c r="C27" i="8"/>
  <c r="F27" i="8" s="1"/>
  <c r="K27" i="8" s="1"/>
  <c r="S50" i="6"/>
  <c r="I77" i="8"/>
  <c r="J77" i="8" s="1"/>
  <c r="K77" i="8" s="1"/>
  <c r="AD6" i="9" a="1"/>
  <c r="AD7" i="9" a="1"/>
  <c r="AD10" i="9" a="1"/>
  <c r="AD8" i="9" a="1"/>
  <c r="AD13" i="9" a="1"/>
  <c r="AD9" i="9" a="1"/>
  <c r="AD12" i="9" a="1"/>
  <c r="AD18" i="9" a="1"/>
  <c r="AD11" i="9" a="1"/>
  <c r="AD18" i="9" l="1"/>
  <c r="M18" i="9" s="1"/>
  <c r="U18" i="9" s="1"/>
  <c r="AD8" i="9"/>
  <c r="M8" i="9" s="1"/>
  <c r="U8" i="9" s="1"/>
  <c r="AD13" i="9"/>
  <c r="M13" i="9" s="1"/>
  <c r="U13" i="9" s="1"/>
  <c r="AD7" i="9"/>
  <c r="M7" i="9" s="1"/>
  <c r="U7" i="9" s="1"/>
  <c r="AD6" i="9"/>
  <c r="M6" i="9" s="1"/>
  <c r="U6" i="9" s="1"/>
  <c r="AD10" i="9"/>
  <c r="M10" i="9" s="1"/>
  <c r="U10" i="9" s="1"/>
  <c r="AD9" i="9"/>
  <c r="M9" i="9" s="1"/>
  <c r="U9" i="9" s="1"/>
  <c r="AD12" i="9"/>
  <c r="M12" i="9" s="1"/>
  <c r="U12" i="9" s="1"/>
  <c r="AD11" i="9"/>
  <c r="M11" i="9" s="1"/>
  <c r="U11" i="9" s="1"/>
  <c r="M19" i="8"/>
  <c r="M24" i="8" s="1"/>
  <c r="K24" i="8"/>
  <c r="N33" i="8"/>
  <c r="N38" i="8" s="1"/>
  <c r="N41" i="8" s="1"/>
  <c r="N42" i="8" s="1"/>
  <c r="N90" i="8" s="1"/>
  <c r="N91" i="8" s="1"/>
  <c r="N101" i="8" s="1"/>
  <c r="K38" i="8"/>
  <c r="Y77" i="8"/>
  <c r="Y78" i="8" s="1"/>
  <c r="Y89" i="8" s="1"/>
  <c r="V77" i="8"/>
  <c r="V78" i="8" s="1"/>
  <c r="V89" i="8" s="1"/>
  <c r="U19" i="6"/>
  <c r="U21" i="6" s="1"/>
  <c r="M27" i="8"/>
  <c r="M30" i="8" s="1"/>
  <c r="K78" i="8"/>
  <c r="K89" i="8" s="1"/>
  <c r="P41" i="7"/>
  <c r="P43" i="7" s="1"/>
  <c r="P35" i="7"/>
  <c r="P37" i="7" s="1"/>
  <c r="C30" i="8"/>
  <c r="C41" i="8" s="1"/>
  <c r="C42" i="8" s="1"/>
  <c r="G28" i="8"/>
  <c r="M41" i="8" l="1"/>
  <c r="M42" i="8" s="1"/>
  <c r="M90" i="8" s="1"/>
  <c r="M91" i="8" s="1"/>
  <c r="M101" i="8" s="1"/>
  <c r="Q107" i="8" s="1"/>
  <c r="V108" i="8"/>
  <c r="V107" i="8"/>
  <c r="P66" i="7"/>
  <c r="H28" i="8"/>
  <c r="K28" i="8" s="1"/>
  <c r="Q108" i="8" l="1"/>
  <c r="S28" i="8"/>
  <c r="S30" i="8" s="1"/>
  <c r="S41" i="8" s="1"/>
  <c r="S42" i="8" s="1"/>
  <c r="S90" i="8" s="1"/>
  <c r="S91" i="8" s="1"/>
  <c r="S101" i="8" s="1"/>
  <c r="R108" i="8" s="1"/>
  <c r="P28" i="8"/>
  <c r="P30" i="8" s="1"/>
  <c r="P41" i="8" s="1"/>
  <c r="P42" i="8" s="1"/>
  <c r="P90" i="8" s="1"/>
  <c r="P91" i="8" s="1"/>
  <c r="P101" i="8" s="1"/>
  <c r="R107" i="8" s="1"/>
  <c r="U29" i="6"/>
  <c r="U31" i="6" s="1"/>
  <c r="U24" i="6"/>
  <c r="U26" i="6" s="1"/>
  <c r="I29" i="8"/>
  <c r="J29" i="8" s="1"/>
  <c r="K29" i="8" s="1"/>
  <c r="AD15" i="9" a="1"/>
  <c r="AD19" i="9" a="1"/>
  <c r="AC16" i="9" a="1"/>
  <c r="AC20" i="9" a="1"/>
  <c r="AD14" i="9" a="1"/>
  <c r="AC15" i="9" a="1"/>
  <c r="AD20" i="9" a="1"/>
  <c r="AD17" i="9" a="1"/>
  <c r="AD16" i="9" a="1"/>
  <c r="AC14" i="9" a="1"/>
  <c r="AD15" i="9" l="1"/>
  <c r="M15" i="9" s="1"/>
  <c r="U15" i="9" s="1"/>
  <c r="AD20" i="9"/>
  <c r="M20" i="9" s="1"/>
  <c r="U20" i="9" s="1"/>
  <c r="AD19" i="9"/>
  <c r="M19" i="9" s="1"/>
  <c r="U19" i="9" s="1"/>
  <c r="AD16" i="9"/>
  <c r="M16" i="9" s="1"/>
  <c r="U16" i="9" s="1"/>
  <c r="AD14" i="9"/>
  <c r="M14" i="9" s="1"/>
  <c r="U14" i="9" s="1"/>
  <c r="AD17" i="9"/>
  <c r="M17" i="9" s="1"/>
  <c r="U17" i="9" s="1"/>
  <c r="AC20" i="9"/>
  <c r="L20" i="9" s="1"/>
  <c r="T20" i="9" s="1"/>
  <c r="AC16" i="9"/>
  <c r="L16" i="9" s="1"/>
  <c r="T16" i="9" s="1"/>
  <c r="AC14" i="9"/>
  <c r="L14" i="9" s="1"/>
  <c r="T14" i="9" s="1"/>
  <c r="AC15" i="9"/>
  <c r="L15" i="9" s="1"/>
  <c r="T15" i="9" s="1"/>
  <c r="Y29" i="8"/>
  <c r="Y30" i="8" s="1"/>
  <c r="Y41" i="8" s="1"/>
  <c r="Y42" i="8" s="1"/>
  <c r="Y90" i="8" s="1"/>
  <c r="Y91" i="8" s="1"/>
  <c r="Y101" i="8" s="1"/>
  <c r="S108" i="8" s="1"/>
  <c r="V29" i="8"/>
  <c r="V30" i="8" s="1"/>
  <c r="V41" i="8" s="1"/>
  <c r="V42" i="8" s="1"/>
  <c r="V90" i="8" s="1"/>
  <c r="V91" i="8" s="1"/>
  <c r="V101" i="8" s="1"/>
  <c r="S107" i="8" s="1"/>
  <c r="K30" i="8"/>
  <c r="K41" i="8" s="1"/>
  <c r="K42" i="8" s="1"/>
  <c r="U39" i="6"/>
  <c r="U41" i="6" s="1"/>
  <c r="U34" i="6"/>
  <c r="U36" i="6" s="1"/>
  <c r="AC11" i="9" a="1"/>
  <c r="AC19" i="9" a="1"/>
  <c r="AC13" i="9" a="1"/>
  <c r="AC18" i="9" a="1"/>
  <c r="AC17" i="9" a="1"/>
  <c r="AC12" i="9" a="1"/>
  <c r="M37" i="9" l="1"/>
  <c r="U37" i="9" s="1"/>
  <c r="N20" i="9"/>
  <c r="V20" i="9" s="1"/>
  <c r="N16" i="9"/>
  <c r="V16" i="9" s="1"/>
  <c r="N14" i="9"/>
  <c r="V14" i="9" s="1"/>
  <c r="AC12" i="9"/>
  <c r="L12" i="9" s="1"/>
  <c r="N12" i="9" s="1"/>
  <c r="V12" i="9" s="1"/>
  <c r="AC17" i="9"/>
  <c r="L17" i="9" s="1"/>
  <c r="N17" i="9" s="1"/>
  <c r="V17" i="9" s="1"/>
  <c r="AC18" i="9"/>
  <c r="L18" i="9" s="1"/>
  <c r="N18" i="9" s="1"/>
  <c r="V18" i="9" s="1"/>
  <c r="AC19" i="9"/>
  <c r="L19" i="9" s="1"/>
  <c r="T19" i="9" s="1"/>
  <c r="AC11" i="9"/>
  <c r="L11" i="9" s="1"/>
  <c r="T11" i="9" s="1"/>
  <c r="AC13" i="9"/>
  <c r="L13" i="9" s="1"/>
  <c r="T13" i="9" s="1"/>
  <c r="N15" i="9"/>
  <c r="V15" i="9" s="1"/>
  <c r="U50" i="6"/>
  <c r="AC9" i="9" a="1"/>
  <c r="AC7" i="9" a="1"/>
  <c r="AC8" i="9" a="1"/>
  <c r="AC10" i="9" a="1"/>
  <c r="AC6" i="9" a="1"/>
  <c r="T12" i="9" l="1"/>
  <c r="N11" i="9"/>
  <c r="V11" i="9" s="1"/>
  <c r="N19" i="9"/>
  <c r="V19" i="9" s="1"/>
  <c r="T17" i="9"/>
  <c r="N13" i="9"/>
  <c r="V13" i="9" s="1"/>
  <c r="AC6" i="9"/>
  <c r="L6" i="9" s="1"/>
  <c r="N6" i="9" s="1"/>
  <c r="V6" i="9" s="1"/>
  <c r="AC7" i="9"/>
  <c r="L7" i="9" s="1"/>
  <c r="T7" i="9" s="1"/>
  <c r="AC9" i="9"/>
  <c r="L9" i="9" s="1"/>
  <c r="N9" i="9" s="1"/>
  <c r="V9" i="9" s="1"/>
  <c r="AC8" i="9"/>
  <c r="L8" i="9" s="1"/>
  <c r="N8" i="9" s="1"/>
  <c r="V8" i="9" s="1"/>
  <c r="AC10" i="9"/>
  <c r="L10" i="9" s="1"/>
  <c r="N10" i="9" s="1"/>
  <c r="V10" i="9" s="1"/>
  <c r="T18" i="9"/>
  <c r="T9" i="9" l="1"/>
  <c r="T10" i="9"/>
  <c r="T6" i="9"/>
  <c r="L37" i="9"/>
  <c r="T37" i="9" s="1"/>
  <c r="N7" i="9"/>
  <c r="V7" i="9" s="1"/>
  <c r="T8" i="9"/>
  <c r="N37" i="9" l="1"/>
  <c r="V3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tc={7167DF97-289C-4BDA-B06A-A8CE07D4E8DD}</author>
  </authors>
  <commentList>
    <comment ref="B36"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Derived as difference of Requirement and Consumption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tc={4555DAA6-A4E0-4A3D-BD9A-23F29896128B}</author>
    <author>tc={814D47C8-A3FD-48D4-BA60-943F875C431C}</author>
    <author>tc={A1819A11-1DA6-4476-BB57-5DD12363DE9A}</author>
    <author>tc={32290DFE-A17E-4BBD-93B2-78A04908F018}</author>
    <author>tc={262A91E0-8484-409F-A328-FA0078059EA3}</author>
    <author>tc={C47B3C03-8E4A-4461-B654-FE2138EAED9D}</author>
    <author>tc={4C85EC83-CE04-481C-82E8-74A7D83F8BD6}</author>
    <author>tc={FB86D427-B3D0-4040-8BD0-79DC3FF49046}</author>
    <author>tc={56E9936C-C410-4070-95C0-B320FAE30BB1}</author>
    <author>tc={783A29A9-883D-4C33-836F-47686BD5794D}</author>
  </authors>
  <commentList>
    <comment ref="B19"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Lines, Transformers, Substations, Systems &amp; Instrumentation, etc.</t>
      </text>
    </comment>
    <comment ref="B20" authorId="1" shapeId="0" xr:uid="{00000000-0006-0000-0600-000002000000}">
      <text>
        <t xml:space="preserve">[Threaded comment]
Your version of Excel allows you to read this threaded comment; however, any edits to it will get removed if the file is opened in a newer version of Excel. Learn more: https://go.microsoft.com/fwlink/?linkid=870924
Comment:
    Customer service line, customer transformer, meters, etc. </t>
      </text>
    </comment>
    <comment ref="B24" authorId="2"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Lines, Transformers, Substations, Systems &amp; Instrumentation, etc.</t>
      </text>
    </comment>
    <comment ref="B25" authorId="3" shapeId="0" xr:uid="{00000000-0006-0000-0600-000004000000}">
      <text>
        <t xml:space="preserve">[Threaded comment]
Your version of Excel allows you to read this threaded comment; however, any edits to it will get removed if the file is opened in a newer version of Excel. Learn more: https://go.microsoft.com/fwlink/?linkid=870924
Comment:
    Customer service line, customer transformer, meters, etc. </t>
      </text>
    </comment>
    <comment ref="B29" authorId="4" shapeId="0" xr:uid="{00000000-0006-0000-0600-000005000000}">
      <text>
        <t>[Threaded comment]
Your version of Excel allows you to read this threaded comment; however, any edits to it will get removed if the file is opened in a newer version of Excel. Learn more: https://go.microsoft.com/fwlink/?linkid=870924
Comment:
    Lines, Transformers, Substations, Systems &amp; Instrumentation, etc.</t>
      </text>
    </comment>
    <comment ref="B30" authorId="5" shapeId="0" xr:uid="{00000000-0006-0000-0600-000006000000}">
      <text>
        <t xml:space="preserve">[Threaded comment]
Your version of Excel allows you to read this threaded comment; however, any edits to it will get removed if the file is opened in a newer version of Excel. Learn more: https://go.microsoft.com/fwlink/?linkid=870924
Comment:
    Customer service line, customer transformer, meters, etc. </t>
      </text>
    </comment>
    <comment ref="B34" authorId="6" shapeId="0" xr:uid="{00000000-0006-0000-0600-000007000000}">
      <text>
        <t>[Threaded comment]
Your version of Excel allows you to read this threaded comment; however, any edits to it will get removed if the file is opened in a newer version of Excel. Learn more: https://go.microsoft.com/fwlink/?linkid=870924
Comment:
    Lines, Transformers, Substations, Systems &amp; Instrumentation, etc.</t>
      </text>
    </comment>
    <comment ref="B35" authorId="7" shapeId="0" xr:uid="{00000000-0006-0000-0600-000008000000}">
      <text>
        <t xml:space="preserve">[Threaded comment]
Your version of Excel allows you to read this threaded comment; however, any edits to it will get removed if the file is opened in a newer version of Excel. Learn more: https://go.microsoft.com/fwlink/?linkid=870924
Comment:
    Customer service line, customer transformer, meters, etc. </t>
      </text>
    </comment>
    <comment ref="B39" authorId="8" shapeId="0" xr:uid="{00000000-0006-0000-0600-000009000000}">
      <text>
        <t>[Threaded comment]
Your version of Excel allows you to read this threaded comment; however, any edits to it will get removed if the file is opened in a newer version of Excel. Learn more: https://go.microsoft.com/fwlink/?linkid=870924
Comment:
    Lines, Transformers, Substations, Systems &amp; Instrumentation, etc.</t>
      </text>
    </comment>
    <comment ref="B40" authorId="9" shapeId="0" xr:uid="{00000000-0006-0000-0600-00000A000000}">
      <text>
        <t xml:space="preserve">[Threaded comment]
Your version of Excel allows you to read this threaded comment; however, any edits to it will get removed if the file is opened in a newer version of Excel. Learn more: https://go.microsoft.com/fwlink/?linkid=870924
Comment:
    Customer service line, customer transformer, meters, etc.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<sst xmlns="http://schemas.openxmlformats.org/spreadsheetml/2006/main" count="769" uniqueCount="458">
  <si>
    <t>XXX</t>
  </si>
  <si>
    <t>A</t>
  </si>
  <si>
    <r>
      <t xml:space="preserve">FY = </t>
    </r>
    <r>
      <rPr>
        <sz val="9.6"/>
        <color rgb="FF0000FF"/>
        <rFont val="Calibri"/>
        <family val="2"/>
      </rPr>
      <t>XXXX-YY</t>
    </r>
  </si>
  <si>
    <t>SBU</t>
  </si>
  <si>
    <t>B</t>
  </si>
  <si>
    <t>C</t>
  </si>
  <si>
    <t>D</t>
  </si>
  <si>
    <t>(A - B + C)</t>
  </si>
  <si>
    <t>Notes:</t>
  </si>
  <si>
    <t>E</t>
  </si>
  <si>
    <t>F</t>
  </si>
  <si>
    <t>G</t>
  </si>
  <si>
    <t>H</t>
  </si>
  <si>
    <t>I</t>
  </si>
  <si>
    <t>J</t>
  </si>
  <si>
    <t>HV</t>
  </si>
  <si>
    <t>MV</t>
  </si>
  <si>
    <t>LV</t>
  </si>
  <si>
    <t>%</t>
  </si>
  <si>
    <t>CAT 1</t>
  </si>
  <si>
    <t>CAT 2</t>
  </si>
  <si>
    <t>CAT 3</t>
  </si>
  <si>
    <t>CAT 4</t>
  </si>
  <si>
    <t>CAT 5</t>
  </si>
  <si>
    <t>CAT 6</t>
  </si>
  <si>
    <t>CAT 7</t>
  </si>
  <si>
    <t>CAT 8</t>
  </si>
  <si>
    <t>CAT 9</t>
  </si>
  <si>
    <t>CAT 10</t>
  </si>
  <si>
    <t>CAT 11</t>
  </si>
  <si>
    <t>CAT 12</t>
  </si>
  <si>
    <t>CAT 13</t>
  </si>
  <si>
    <t>CAT 14</t>
  </si>
  <si>
    <t>CAT 15</t>
  </si>
  <si>
    <t>CAT 16</t>
  </si>
  <si>
    <t>CAT 17</t>
  </si>
  <si>
    <t>CAT 18</t>
  </si>
  <si>
    <t>CAT 19</t>
  </si>
  <si>
    <t>CAT 20</t>
  </si>
  <si>
    <t>GWh</t>
  </si>
  <si>
    <t>MW</t>
  </si>
  <si>
    <t>CAT 21</t>
  </si>
  <si>
    <t>CAT 22</t>
  </si>
  <si>
    <t>CAT 23</t>
  </si>
  <si>
    <t>CAT 24</t>
  </si>
  <si>
    <t>CAT 25</t>
  </si>
  <si>
    <t>CAT 26</t>
  </si>
  <si>
    <t>CAT 27</t>
  </si>
  <si>
    <t>CAT 28</t>
  </si>
  <si>
    <t>CAT 29</t>
  </si>
  <si>
    <t>CAT 30</t>
  </si>
  <si>
    <t>XX</t>
  </si>
  <si>
    <t>Total</t>
  </si>
  <si>
    <t>Allocated values</t>
  </si>
  <si>
    <t>Note:</t>
  </si>
  <si>
    <t>Sub-total</t>
  </si>
  <si>
    <t>CWIP</t>
  </si>
  <si>
    <t>Rural</t>
  </si>
  <si>
    <t>Note</t>
  </si>
  <si>
    <t>After voltage-wise re-allocations</t>
  </si>
  <si>
    <t>$$$/ kWh</t>
  </si>
  <si>
    <t>$$$/ kW</t>
  </si>
  <si>
    <t>$$$/ Customer</t>
  </si>
  <si>
    <t>S. No.</t>
  </si>
  <si>
    <t>Frais de capacité (achat d'électricité)</t>
  </si>
  <si>
    <t xml:space="preserve">Travaux d'équipement en cours (CWIP) </t>
  </si>
  <si>
    <t>Les travaux d'équipement en cours, c'est le coût des actifs nets qui sont en construction ou en développement et ne sont pas encore prêts à l'emploi. C'est un élément du bilan qui comprend les dépenses telles que: coûts de construction, achats du matériel,  et autres dépenses liées au projet.</t>
  </si>
  <si>
    <t>Actifs financés par les subventions des consommateurs</t>
  </si>
  <si>
    <t xml:space="preserve">Caution sécuritaire des consommateurs  </t>
  </si>
  <si>
    <t>Les consommateurs paient leurs factures d'électricité après émission de celles-ci. La caution sécuritaire afférente à la facture d'électricité est versée par les clients afin d'assurer que la société d'électricité ne subit aucune perte. Au cas où le client ne paie pas sa facture d'éectricité, malgré un préavis ou une mise en garde donnée - le montant de sa facture d'électricité sera déduit de sa caution sécuritire. Le montant de la caution se base d'habitude sur le coût mensuel moyens d'électricité de l'année précédente.</t>
  </si>
  <si>
    <t>Facteur de coincidence</t>
  </si>
  <si>
    <t xml:space="preserve">Pointe de coincidence </t>
  </si>
  <si>
    <t>Actifs liés aux clients</t>
  </si>
  <si>
    <t xml:space="preserve">Les actifs liés aux clients comprennent des actifs tels qu'une ligne de service du client, le transformateur, les compteurs des clients, etc. </t>
  </si>
  <si>
    <t>Coûts liés aux clients</t>
  </si>
  <si>
    <t>Les coûts liés aux clients varient avec le nombre de clients. Ils comprennent tous les coûts associés à l'approvisionnement des services électriques aux clients, notamment, les coûts associés au service de connexion, compteur, facture, collecte et services clients.</t>
  </si>
  <si>
    <t>Frais de demande (revenu - tarif électrique)</t>
  </si>
  <si>
    <t>Les frais de demande se basent sur les composantes de la capacité (prix au kW) d'un tarif de distribution qui facture un consommateur selon le maximum d'électricité qu'il consomme durant une période de temps donnée. Les frais de demande sont une composante du tarif commercial d'électricité qui se base sur la consommation de pointe d'un client durant la période de facturation. Ils sont conçus pour permettre aux sociétés utilitaires de recouvrer les coûts de génération et de distribution d'électricité.</t>
  </si>
  <si>
    <t>Actifs liés à la demande</t>
  </si>
  <si>
    <t xml:space="preserve">Les actifs liés à la demande comprennent des actifs tels que les lignes, transformateurs, sous-stations, systèmes &amp; instrumentation, etc.   </t>
  </si>
  <si>
    <t>Frais d'énergie (achat d'électricité)</t>
  </si>
  <si>
    <t>Les frais d'énergie couvrent le coût variable de génération d'énergie.</t>
  </si>
  <si>
    <t>Besoins énergétiques</t>
  </si>
  <si>
    <t>Coût lié à l'énergie</t>
  </si>
  <si>
    <t>Frais fixes (revenu - tarif d'électricité)</t>
  </si>
  <si>
    <t>Imobilisations brutes</t>
  </si>
  <si>
    <t>Les immobilisations brutes constituent un terme comptabe qui se réfère au coût total des immobilisations d'une entreprise, y compris les équipements, machines et biens.</t>
  </si>
  <si>
    <t>Haute tension</t>
  </si>
  <si>
    <t>Facteur de charge</t>
  </si>
  <si>
    <t>Location de compteur</t>
  </si>
  <si>
    <t>La location de compteur est une redevance mensuelle payée par les clients s'ils n'ont pas leurs propres compteurs électriques. Le compteur appartient d'habitude au distributeur électrique, et le client en paie le loyer durant la période de facturation. La location de compteur figure sur la facture élecrique du client.</t>
  </si>
  <si>
    <t>Immobilisations nettes</t>
  </si>
  <si>
    <t>Pertes non techniques</t>
  </si>
  <si>
    <t>Pointe non coincidente</t>
  </si>
  <si>
    <t>Pertes techniques</t>
  </si>
  <si>
    <t>Provision pour mauvaises créances</t>
  </si>
  <si>
    <t>Frais de reconnexion</t>
  </si>
  <si>
    <t>Revenu sur la base d'actifs régulés</t>
  </si>
  <si>
    <t>Besoin de revenus</t>
  </si>
  <si>
    <t>Unité d'affaires stratégiques</t>
  </si>
  <si>
    <t xml:space="preserve">Coût moyen pondéré du capital </t>
  </si>
  <si>
    <t>Les frais de capacité (frais fixes) couvrent les coûts fixes du projet d'électricité de la compagnie, y compris le rendement sur les fonds propres</t>
  </si>
  <si>
    <t>Les actifs financés par les subventions sont ceux financés par les clients ou par les fonds de subvention, qui doivent être exclus en calculant les coûts à recouvrer à partir des tarifs</t>
  </si>
  <si>
    <t>Coûts liés à la demande</t>
  </si>
  <si>
    <t>Les coûts liés à la demande comprennent tous les coûts associés à la création de la capacité de génération et de la capacité du réseau (transmission et distribution) afin de satisfaire à la demande du client et d'opérer une telle capacité, notamment, le coût du service de la dette associée à l'acquisition des immobilisations, à l'amortissement des immobilisations, aux dépenses liées aux immobilisations.</t>
  </si>
  <si>
    <t>Frais d'énergie (revenu - tarif d'électricité)</t>
  </si>
  <si>
    <t>Les coûts liés à l'énergie varient selon le volume de consommation. Les coûts liés à la consommation d'énergie comprennent tous les coûts associés à la génération des unités d'énergie, notamment, le coût primaire du carburant et le coût du carburant de lancement.</t>
  </si>
  <si>
    <t>La composante des frais fixes d'un tarif d'électricité est une redevance qui couvre le coût de maintenance de l'infrastructure requise pour fournir l'élecricité à un domicile ou une entreprise. Cette redevance est indépendante de la consommation électrique réelle et est d'habitude la même chaque mois. Elle est également connue comme frais au client.</t>
  </si>
  <si>
    <t>Les immobilisations nettes représentent la valeur totale des immobilisations brutes d'une société, moins l'amortissement total cumulé sur les mêmes.</t>
  </si>
  <si>
    <t>Les frais de reconnexion s'appliquent lorsqu'une ligne de service est déconnectée pour défauts de paiement, non respect des modalités d'approvisionnement ou une demande temporaire du consommateur. La reconnexion est permise dans un délai de six mois après la déconnnexion, mais il n'y a pas de frais si le déconnexion est causée par une catastrophe naturelle. Les frais de reconnextion d'électricité varient selon le fournisseur et la raison de déconnexion.</t>
  </si>
  <si>
    <t>La base d'actifs régulés est dérivée en ajoutant les travaux d'équipement en cours et le fonds de roulement net aux actifs nets financés par la société utilitaire.</t>
  </si>
  <si>
    <t>Définition</t>
  </si>
  <si>
    <t>Rubrique</t>
  </si>
  <si>
    <t>Cellule de saisie de données brutes</t>
  </si>
  <si>
    <t>Cellule pilotée par cellule</t>
  </si>
  <si>
    <t>UAS</t>
  </si>
  <si>
    <t>Base d'actifs régulés (BAR)</t>
  </si>
  <si>
    <r>
      <t xml:space="preserve">Unités = </t>
    </r>
    <r>
      <rPr>
        <sz val="9.6"/>
        <color rgb="FF0000FF"/>
        <rFont val="Calibri"/>
        <family val="2"/>
      </rPr>
      <t>$$$</t>
    </r>
    <r>
      <rPr>
        <sz val="8"/>
        <color theme="1"/>
        <rFont val="Calibri"/>
        <family val="2"/>
        <scheme val="minor"/>
      </rPr>
      <t xml:space="preserve"> millions</t>
    </r>
  </si>
  <si>
    <t>Immobilisations brutes (IB)</t>
  </si>
  <si>
    <t>Terrains  &amp; bâtiments</t>
  </si>
  <si>
    <t>Actifs divers</t>
  </si>
  <si>
    <t>Actifs CGF (valeur brute)</t>
  </si>
  <si>
    <t>Amortissement cumulé</t>
  </si>
  <si>
    <t>Terrain  &amp; bâtiments</t>
  </si>
  <si>
    <t>Actifs CGF  (amortissement cumulé)</t>
  </si>
  <si>
    <t xml:space="preserve">Amortissement cumulé - </t>
  </si>
  <si>
    <t>Actifs financés par la compagnie (D - E)</t>
  </si>
  <si>
    <t>Immobilisations nettes financées par la compagnie (C - F)</t>
  </si>
  <si>
    <t>Travaux d'équipement en cours</t>
  </si>
  <si>
    <t>(+) Dépenses O&amp;M (1 mois)</t>
  </si>
  <si>
    <t>(+) Effets à recevoir (2 mois)</t>
  </si>
  <si>
    <t>(-) Dettes commerciales (1 mois)</t>
  </si>
  <si>
    <t>(-) Caution sécuritaire du consommateur</t>
  </si>
  <si>
    <t>Base d'actifs régulés (G+H+I)</t>
  </si>
  <si>
    <t>Génération</t>
  </si>
  <si>
    <t>Période du rapport: Solde de clôture du tout dernier exercice financier dont les données peuvent être displonibles</t>
  </si>
  <si>
    <t>Monnaie: Monnaie de préparation des états financiers</t>
  </si>
  <si>
    <t>Effectif d'employés</t>
  </si>
  <si>
    <t>L'effectif d'employés à insérer seulement pour les UAS dont le RR est inclus dans le tableau susvisé</t>
  </si>
  <si>
    <t>Insérer les empoyés affectés à ces fonctionss. Ne pas inclure les employés des services de l'administration, institutiionnels, financiers ou partagés</t>
  </si>
  <si>
    <t>Définitions des niveaux de tension à maintenir ci-après. Si l'effectif d'empoyés n'est pas maintenu selon les définitions des niveaux de tension, il faut estimer l'effectif d'employés par la proportion de clients connectés à ces niveaux de tension:</t>
  </si>
  <si>
    <t>Niveau de tension connecté</t>
  </si>
  <si>
    <t>Procurations pour répartir les coûts du service client</t>
  </si>
  <si>
    <t>Revenu de vente d'électricité (exclusion faite des taxes)</t>
  </si>
  <si>
    <t>Nom de la catégorie</t>
  </si>
  <si>
    <t xml:space="preserve">Perte T&amp;D </t>
  </si>
  <si>
    <t>Charge connectée par client</t>
  </si>
  <si>
    <t>Frais de connexion</t>
  </si>
  <si>
    <t>Frais d'énergie</t>
  </si>
  <si>
    <t xml:space="preserve">Frais de demande </t>
  </si>
  <si>
    <t xml:space="preserve">Fixe </t>
  </si>
  <si>
    <t>Séparer les insertions pour les clients de la même catégorie de consommation mais ayant des bâtiments dans différentes zones géographiques (urbaines/ rurales)</t>
  </si>
  <si>
    <t>kW par client</t>
  </si>
  <si>
    <t>($$$) par client</t>
  </si>
  <si>
    <t>Millions de $$$</t>
  </si>
  <si>
    <t>Millions de  $$$</t>
  </si>
  <si>
    <t>Solde d'énergie - système total</t>
  </si>
  <si>
    <t>Perte technique</t>
  </si>
  <si>
    <t>Perte non technique</t>
  </si>
  <si>
    <t>Ventes d'énergie (3-4)</t>
  </si>
  <si>
    <t>Consommation d'énergie (1-2)</t>
  </si>
  <si>
    <r>
      <rPr>
        <i/>
        <u/>
        <sz val="8"/>
        <color theme="1"/>
        <rFont val="Calibri"/>
        <family val="2"/>
      </rPr>
      <t>Consommation</t>
    </r>
    <r>
      <rPr>
        <i/>
        <sz val="8"/>
        <color theme="1"/>
        <rFont val="Calibri"/>
        <family val="2"/>
        <scheme val="minor"/>
      </rPr>
      <t xml:space="preserve"> = Ventes + pertes non techniques</t>
    </r>
  </si>
  <si>
    <r>
      <rPr>
        <i/>
        <u/>
        <sz val="8"/>
        <color theme="1"/>
        <rFont val="Calibri"/>
        <family val="2"/>
      </rPr>
      <t>Ventes</t>
    </r>
    <r>
      <rPr>
        <i/>
        <sz val="8"/>
        <color theme="1"/>
        <rFont val="Calibri"/>
        <family val="2"/>
        <scheme val="minor"/>
      </rPr>
      <t xml:space="preserve"> = Facturées aux clients</t>
    </r>
  </si>
  <si>
    <r>
      <rPr>
        <i/>
        <u/>
        <sz val="8"/>
        <color theme="1"/>
        <rFont val="Calibri"/>
        <family val="2"/>
      </rPr>
      <t>Besoins</t>
    </r>
    <r>
      <rPr>
        <i/>
        <sz val="8"/>
        <color theme="1"/>
        <rFont val="Calibri"/>
        <family val="2"/>
        <scheme val="minor"/>
      </rPr>
      <t xml:space="preserve"> = Consommations + pertes techniques</t>
    </r>
  </si>
  <si>
    <t>Solde d'électricité - système total</t>
  </si>
  <si>
    <t>Demande de pointe</t>
  </si>
  <si>
    <t>Consommation d'électricité (1-2)</t>
  </si>
  <si>
    <t>Ventes d'électricité (3-4)</t>
  </si>
  <si>
    <t xml:space="preserve">Pourcentages de perte d'énergie - système total </t>
  </si>
  <si>
    <t>Perte technique en % du besoin d'énergie du système</t>
  </si>
  <si>
    <t>Perte non technique en % du besoin d'énergie du système</t>
  </si>
  <si>
    <t>Insertion de données brutes</t>
  </si>
  <si>
    <t>Pourcentages de perte d'électricité - système total</t>
  </si>
  <si>
    <t>Perte technique en % de la demande de pointe du système</t>
  </si>
  <si>
    <t>Perte non technique en % de la demande de pointe du système</t>
  </si>
  <si>
    <t>Dérivée</t>
  </si>
  <si>
    <t>Perte de haute tension en % du besoin d'énerge de haute tension</t>
  </si>
  <si>
    <t>Perte de moyenne tension en % du besoin d'énergie de moyenne tension</t>
  </si>
  <si>
    <t>Perte de basse tension en % du besoin d'énergie de basse tension</t>
  </si>
  <si>
    <t>Données brutes</t>
  </si>
  <si>
    <t>Dérivé sur base du solde d'énrgie</t>
  </si>
  <si>
    <t>Perte d'énergie =&gt; Perte de demande</t>
  </si>
  <si>
    <t>Facteur de conversion</t>
  </si>
  <si>
    <t xml:space="preserve">Simuler les valeurs dans la cellule ci-après </t>
  </si>
  <si>
    <t xml:space="preserve">pour obtenir l'erreur ciblée proche à zéro </t>
  </si>
  <si>
    <t>ERREUR</t>
  </si>
  <si>
    <t>Pourcentages de perte technique (demande): en termes de tension</t>
  </si>
  <si>
    <t>Dérovée</t>
  </si>
  <si>
    <t>Besoin</t>
  </si>
  <si>
    <r>
      <rPr>
        <i/>
        <sz val="8"/>
        <color theme="1"/>
        <rFont val="Calibri"/>
        <family val="2"/>
      </rPr>
      <t>Moins:</t>
    </r>
    <r>
      <rPr>
        <sz val="8"/>
        <color theme="1"/>
        <rFont val="Calibri"/>
        <family val="2"/>
        <scheme val="minor"/>
      </rPr>
      <t xml:space="preserve"> Perte technique</t>
    </r>
  </si>
  <si>
    <t>Sytème MT</t>
  </si>
  <si>
    <r>
      <rPr>
        <i/>
        <sz val="8"/>
        <color theme="1"/>
        <rFont val="Calibri"/>
        <family val="2"/>
      </rPr>
      <t>Moins:</t>
    </r>
    <r>
      <rPr>
        <sz val="8"/>
        <color theme="1"/>
        <rFont val="Calibri"/>
        <family val="2"/>
        <scheme val="minor"/>
      </rPr>
      <t xml:space="preserve"> Pertes techniques</t>
    </r>
  </si>
  <si>
    <r>
      <rPr>
        <i/>
        <sz val="8"/>
        <color theme="1"/>
        <rFont val="Calibri"/>
        <family val="2"/>
      </rPr>
      <t>Moins:</t>
    </r>
    <r>
      <rPr>
        <sz val="8"/>
        <color theme="1"/>
        <rFont val="Calibri"/>
        <family val="2"/>
        <scheme val="minor"/>
      </rPr>
      <t xml:space="preserve"> Consommation des clients HT</t>
    </r>
  </si>
  <si>
    <r>
      <rPr>
        <i/>
        <sz val="8"/>
        <color theme="1"/>
        <rFont val="Calibri"/>
        <family val="2"/>
      </rPr>
      <t>Moins:</t>
    </r>
    <r>
      <rPr>
        <sz val="8"/>
        <color theme="1"/>
        <rFont val="Calibri"/>
        <family val="2"/>
        <scheme val="minor"/>
      </rPr>
      <t xml:space="preserve"> Consommation des clients MT</t>
    </r>
  </si>
  <si>
    <r>
      <rPr>
        <i/>
        <u/>
        <sz val="8"/>
        <color theme="1"/>
        <rFont val="Calibri"/>
        <family val="2"/>
      </rPr>
      <t>Egale à</t>
    </r>
    <r>
      <rPr>
        <sz val="8"/>
        <color theme="1"/>
        <rFont val="Calibri"/>
        <family val="2"/>
        <scheme val="minor"/>
      </rPr>
      <t xml:space="preserve">: Transfert au prochain de niveau de tension </t>
    </r>
  </si>
  <si>
    <r>
      <rPr>
        <i/>
        <u/>
        <sz val="8"/>
        <color theme="1"/>
        <rFont val="Calibri"/>
        <family val="2"/>
      </rPr>
      <t>Egale à</t>
    </r>
    <r>
      <rPr>
        <sz val="8"/>
        <color theme="1"/>
        <rFont val="Calibri"/>
        <family val="2"/>
        <scheme val="minor"/>
      </rPr>
      <t>: Transfert au prochain niveau de tension</t>
    </r>
  </si>
  <si>
    <t>Système BT</t>
  </si>
  <si>
    <t>Solde de demande - En termes de tension</t>
  </si>
  <si>
    <t xml:space="preserve">Système HT </t>
  </si>
  <si>
    <t>Système HT</t>
  </si>
  <si>
    <r>
      <rPr>
        <i/>
        <sz val="8"/>
        <color theme="1"/>
        <rFont val="Calibri"/>
        <family val="2"/>
      </rPr>
      <t>Moins:</t>
    </r>
    <r>
      <rPr>
        <sz val="8"/>
        <color theme="1"/>
        <rFont val="Calibri"/>
        <family val="2"/>
        <scheme val="minor"/>
      </rPr>
      <t xml:space="preserve"> Perte tehnique</t>
    </r>
  </si>
  <si>
    <r>
      <rPr>
        <i/>
        <u/>
        <sz val="8"/>
        <color theme="1"/>
        <rFont val="Calibri"/>
        <family val="2"/>
      </rPr>
      <t>Egale à</t>
    </r>
    <r>
      <rPr>
        <sz val="8"/>
        <color theme="1"/>
        <rFont val="Calibri"/>
        <family val="2"/>
        <scheme val="minor"/>
      </rPr>
      <t>: Transfert au prochain niveau de tensioin</t>
    </r>
  </si>
  <si>
    <t>Système MT</t>
  </si>
  <si>
    <r>
      <rPr>
        <i/>
        <u/>
        <sz val="8"/>
        <color theme="1"/>
        <rFont val="Calibri"/>
        <family val="2"/>
      </rPr>
      <t>Egale à</t>
    </r>
    <r>
      <rPr>
        <i/>
        <sz val="8"/>
        <color theme="1"/>
        <rFont val="Calibri"/>
        <family val="2"/>
      </rPr>
      <t>:</t>
    </r>
    <r>
      <rPr>
        <sz val="8"/>
        <color theme="1"/>
        <rFont val="Calibri"/>
        <family val="2"/>
        <scheme val="minor"/>
      </rPr>
      <t xml:space="preserve"> Consommation des clients BT</t>
    </r>
  </si>
  <si>
    <t>Les facteurs de fonctionnalisation doivent totaliser 100%</t>
  </si>
  <si>
    <t>Compagnies partiellement ou entièrement dégroupées (G T+D / G+T et D / G, T et D): Fonctionnaliser seulement pour les fontions de réseau</t>
  </si>
  <si>
    <t>Si un niveau de tension particulier ou zone particulière n'est pas applicable, par exemple  MT-Rural, utiliser 0%  comme facteur de fonctionnalisation par rapport à cette fonction.</t>
  </si>
  <si>
    <t>Catégories de fonctionnalisation</t>
  </si>
  <si>
    <t>Fonctionnalisation des immobilisations brutes (IB)</t>
  </si>
  <si>
    <t>Les IB non fonctionnalisées (selon les comptes financiers)</t>
  </si>
  <si>
    <t>P&amp;M, lignes réseau</t>
  </si>
  <si>
    <t>Valeurs fonctionnalisées</t>
  </si>
  <si>
    <t>Terrain, bâtiments et actifs divers</t>
  </si>
  <si>
    <t>P&amp;M, Proportion lignes - réseau</t>
  </si>
  <si>
    <t>Sous-total (IB non ajustées)</t>
  </si>
  <si>
    <t>Actifs CGF</t>
  </si>
  <si>
    <t>Facteurs fonctionnels</t>
  </si>
  <si>
    <t>Immobilisations brutes fonctionnalisées (ajustées pour les actifs bruts)</t>
  </si>
  <si>
    <t>Amortissement cumulé (selon les comptes financiers)</t>
  </si>
  <si>
    <t>Amortissement cumulé fonctionnalisé</t>
  </si>
  <si>
    <t>Proportion GFA ajustée</t>
  </si>
  <si>
    <t>NFA fonctionnalisé (ajusté pour les actifs GGF)</t>
  </si>
  <si>
    <t>Fonds de roulement</t>
  </si>
  <si>
    <t>Dépenses, GFA non ajustés</t>
  </si>
  <si>
    <t>BAR fonctionnalisée (ajustée pour les actifs CGF)</t>
  </si>
  <si>
    <t>SBU de génération</t>
  </si>
  <si>
    <t>Sous-total</t>
  </si>
  <si>
    <t>SBU de réseau à haute tension</t>
  </si>
  <si>
    <t>Actifs liés liés à la demande</t>
  </si>
  <si>
    <r>
      <t xml:space="preserve">SBU de réseau urbain </t>
    </r>
    <r>
      <rPr>
        <i/>
        <u/>
        <sz val="8"/>
        <color theme="1"/>
        <rFont val="Calibri"/>
        <family val="2"/>
      </rPr>
      <t>(clients urbains)</t>
    </r>
  </si>
  <si>
    <r>
      <t>SBU de réseau BT rural (clients ruraux</t>
    </r>
    <r>
      <rPr>
        <i/>
        <u/>
        <sz val="8"/>
        <color theme="1"/>
        <rFont val="Calibri"/>
        <family val="2"/>
      </rPr>
      <t>)</t>
    </r>
  </si>
  <si>
    <r>
      <t xml:space="preserve">SBU de réseau BT urbain </t>
    </r>
    <r>
      <rPr>
        <i/>
        <u/>
        <sz val="8"/>
        <color theme="1"/>
        <rFont val="Calibri"/>
        <family val="2"/>
      </rPr>
      <t>(clients urbains)</t>
    </r>
  </si>
  <si>
    <r>
      <t xml:space="preserve">SBU de réseau BT rural </t>
    </r>
    <r>
      <rPr>
        <i/>
        <u/>
        <sz val="8"/>
        <color theme="1"/>
        <rFont val="Calibri"/>
        <family val="2"/>
      </rPr>
      <t>(clients ruraux)</t>
    </r>
  </si>
  <si>
    <t>Selon les comptes financiers</t>
  </si>
  <si>
    <r>
      <rPr>
        <i/>
        <sz val="8"/>
        <color theme="1"/>
        <rFont val="Calibri"/>
        <family val="2"/>
      </rPr>
      <t xml:space="preserve">Moins: Actifs </t>
    </r>
    <r>
      <rPr>
        <sz val="8"/>
        <color theme="1"/>
        <rFont val="Calibri"/>
        <family val="2"/>
        <scheme val="minor"/>
      </rPr>
      <t xml:space="preserve">CGF </t>
    </r>
  </si>
  <si>
    <t>Fonctionnalisation des dépenses</t>
  </si>
  <si>
    <t>Fonctionnalisation</t>
  </si>
  <si>
    <t>Dépenses non fonctionnalisées (selon les comptes financiers)</t>
  </si>
  <si>
    <t>Coût du carburan, frais d'énergie</t>
  </si>
  <si>
    <t>Besoin en énergie</t>
  </si>
  <si>
    <t>Frais d'achat d'électricité  (capacité) , frais de transmission</t>
  </si>
  <si>
    <t>demande de pointe</t>
  </si>
  <si>
    <t xml:space="preserve">Coûts d'entretien, et de A&amp;G </t>
  </si>
  <si>
    <t>Effectif de clients</t>
  </si>
  <si>
    <t>GFA non ajusté</t>
  </si>
  <si>
    <t>Coût du personnel</t>
  </si>
  <si>
    <t>Amortissement (hormis les actifs CGF)</t>
  </si>
  <si>
    <t>GFA ajusté</t>
  </si>
  <si>
    <t xml:space="preserve">Dépenses Intr. &amp; Fin. </t>
  </si>
  <si>
    <t>Revenu non tarifaire</t>
  </si>
  <si>
    <t>Dépenses fonctionnalisées</t>
  </si>
  <si>
    <t>Effectif des clients</t>
  </si>
  <si>
    <t>Cout lié à l'énergie</t>
  </si>
  <si>
    <t>Coût lié à la demande</t>
  </si>
  <si>
    <t>Réseau HT</t>
  </si>
  <si>
    <t>Réseau MT des clients urbains</t>
  </si>
  <si>
    <t>Cout lié à la demande</t>
  </si>
  <si>
    <t>Coût lié aux clients</t>
  </si>
  <si>
    <t>Réseau MT des clients ruraux</t>
  </si>
  <si>
    <t>Réseau BT des clients urbains</t>
  </si>
  <si>
    <t>Coût lié aux cients</t>
  </si>
  <si>
    <t>Réseau BT des clients ruraux</t>
  </si>
  <si>
    <t>carburant, eau, produits chimiques</t>
  </si>
  <si>
    <t>Achat d'életricité</t>
  </si>
  <si>
    <t>Charge de capacité</t>
  </si>
  <si>
    <t>Charge d'énergie</t>
  </si>
  <si>
    <t xml:space="preserve">Frais de transmission </t>
  </si>
  <si>
    <t>Entretien</t>
  </si>
  <si>
    <t>Admin &amp; Général</t>
  </si>
  <si>
    <t>Amortissement total (tous les actifs)</t>
  </si>
  <si>
    <t>Moins: Amortissement des actifs CGF</t>
  </si>
  <si>
    <t>Intérêt &amp; dépenses de financement</t>
  </si>
  <si>
    <t xml:space="preserve">Moins: </t>
  </si>
  <si>
    <t>Intérêts sur les cautions des clients</t>
  </si>
  <si>
    <t>Loyer de compteur</t>
  </si>
  <si>
    <t>Pénalités, amendes,  divers, etc.</t>
  </si>
  <si>
    <t>Réallocation du RR lié à la demande (réseau) entre les niveaux de tension</t>
  </si>
  <si>
    <t xml:space="preserve">.Par conséquent, certaines portions du facteur à plus haute tension sont attribuées aux tensions plus. </t>
  </si>
  <si>
    <t xml:space="preserve">The réallocation se fait par le partage en termes  de tension de la demande de pointe. Comme première étape, les facteurs à haute tension sont attribués à la haute tesion sur base de la part de haute tension dans la demande de pointe. </t>
  </si>
  <si>
    <t>.</t>
  </si>
  <si>
    <t xml:space="preserve">% de part </t>
  </si>
  <si>
    <t>HT à HT</t>
  </si>
  <si>
    <t>HT à MT+BT</t>
  </si>
  <si>
    <t>MT à MT</t>
  </si>
  <si>
    <t>MT à NBT</t>
  </si>
  <si>
    <t>BT</t>
  </si>
  <si>
    <t>Valeurs réattribuées</t>
  </si>
  <si>
    <t>HT</t>
  </si>
  <si>
    <t>Liée à la demande</t>
  </si>
  <si>
    <t>Liée aux clients</t>
  </si>
  <si>
    <t>MT urbaine</t>
  </si>
  <si>
    <t>Récapitulatif de la BAR en terme de clients</t>
  </si>
  <si>
    <t>MT rurale</t>
  </si>
  <si>
    <t>BT urbaine</t>
  </si>
  <si>
    <t>BT rurale</t>
  </si>
  <si>
    <t>BAR SBU de génération</t>
  </si>
  <si>
    <t>BT (urbaine+rurale)</t>
  </si>
  <si>
    <t>BAR liée aux clients</t>
  </si>
  <si>
    <t>MT urbtaine</t>
  </si>
  <si>
    <t>BAR</t>
  </si>
  <si>
    <t>Réallocation des dépenses en termes de densité</t>
  </si>
  <si>
    <t>% de part</t>
  </si>
  <si>
    <t>MT à BT</t>
  </si>
  <si>
    <t>Liée à l'énergie</t>
  </si>
  <si>
    <t>Liée à l'énrgie</t>
  </si>
  <si>
    <t>Récapitulatif des dépenses en termes de client + Rendement sur BAR</t>
  </si>
  <si>
    <t>Dépenses liées à l'énergie SBU de génération</t>
  </si>
  <si>
    <t>Dépenses liées à la demande de génération SBU</t>
  </si>
  <si>
    <t>Dépenses liées à la demande (réseau)</t>
  </si>
  <si>
    <t>MT (urbaine+rurale)</t>
  </si>
  <si>
    <t>Dépenses liées aux clients</t>
  </si>
  <si>
    <t>Dépenses</t>
  </si>
  <si>
    <t>Revenu sur la BAR</t>
  </si>
  <si>
    <t>Dépenses + Revenu sur La BAR</t>
  </si>
  <si>
    <t>Ventes d'énergie (GWh)</t>
  </si>
  <si>
    <t>Ventes NCP (MW)</t>
  </si>
  <si>
    <t>Coût par unité lié à l'énergie</t>
  </si>
  <si>
    <t>MT</t>
  </si>
  <si>
    <t>$$$/ Clientsr</t>
  </si>
  <si>
    <t>Liée au client</t>
  </si>
  <si>
    <t>Dérivation de coûts par unité</t>
  </si>
  <si>
    <t>Effectif de client</t>
  </si>
  <si>
    <t>Ventes NCP  (MW)</t>
  </si>
  <si>
    <t>$$$/ Client</t>
  </si>
  <si>
    <t>Efffectif de clients</t>
  </si>
  <si>
    <t>Coût par unité lié à la demande</t>
  </si>
  <si>
    <t>Urbain</t>
  </si>
  <si>
    <t>Rendement</t>
  </si>
  <si>
    <t>Géo</t>
  </si>
  <si>
    <t>Niveau de tension</t>
  </si>
  <si>
    <t>Quantités</t>
  </si>
  <si>
    <t>Coût de service ($$$ millions)</t>
  </si>
  <si>
    <t>Coût lié auxx clients cost</t>
  </si>
  <si>
    <t>Coût total</t>
  </si>
  <si>
    <t>Recouvrement de coût réel ($$$ millions)</t>
  </si>
  <si>
    <t>Frais de demande</t>
  </si>
  <si>
    <t>Coût fixe</t>
  </si>
  <si>
    <t>Revenu total</t>
  </si>
  <si>
    <t>Pourcentage de recouvrement de coût (%)</t>
  </si>
  <si>
    <t>Co$ut lié à la demande</t>
  </si>
  <si>
    <t>Erreurs</t>
  </si>
  <si>
    <t>Répartition des pertes non techniques</t>
  </si>
  <si>
    <t>Le facteur de coincidence est le ratio de la pointe coincidente à la courbe de charge d'une catégorie de client, c'est-à-dire la pointe non coincidente.</t>
  </si>
  <si>
    <t xml:space="preserve">La pointe de coincidence est la contribution de chaque catégorie de consommateur à la demande de pointe du système ou la valeur de la demande de la catégorie de consommateur au moment de la pointe du système </t>
  </si>
  <si>
    <t>Les frais d'énergie constituent une composante variable d'un tarif d'électricité qui s'applique au montant total d'électricité consommée durant une période de facturation.</t>
  </si>
  <si>
    <t>Consommation d'énergie</t>
  </si>
  <si>
    <t>La consommation d'énergie représente les ventes d'énergie plus les pertes non techniques.</t>
  </si>
  <si>
    <t>Les besoins énergétiques représentent la consommation énergétique plus les pertes techniques</t>
  </si>
  <si>
    <t>En pratique générale, la haute tension a été considérée comme un niveau de tension supérieur à66 kV.</t>
  </si>
  <si>
    <t>Le facteur de charge est le ratio de consommation réelle d'énergie à la pointe de la consommation d'énergie pour une catégorie particulière de consommateurs.</t>
  </si>
  <si>
    <t>Basse tension</t>
  </si>
  <si>
    <t xml:space="preserve">La basse tension dans la pratique générale a été considérée  comme un niveau de tension égale à 230 V, 400 V, etc. </t>
  </si>
  <si>
    <t>Moyenne tension</t>
  </si>
  <si>
    <t>Dans la pratique générale, la moyenne tension a été considérée comme un niveau de tension située  entre 11kV et 66 kV.</t>
  </si>
  <si>
    <t>La pointe non coincidente est la demande de pointe de chaque catégorie de client.</t>
  </si>
  <si>
    <t>Immobilisations nettes financées par la société utilitaire This involves deducting accumulated depreciation on assets financed by utility from GFA financed by utility. The accumulated depreciation on assets financed by utility is considered after deduction of accumulated depreciation on CGF assets</t>
  </si>
  <si>
    <t xml:space="preserve">Ceci comprend la déduction de l'amortissement cumulé sur les actifs financés par la société utilitaire et sur les actifs généraux financés par la société utilitaire. L'amortissement cumulé sur les actifs financés par la société utilitaire est pris en compte après déduction de l'amortissement cumulé sur les actifs généraux. </t>
  </si>
  <si>
    <t>Les pertes non techniques tiennent à plusieurs raisons, y compris le vol,  les comptes non facturés, les comptes clients estimatifs, des erreurs dues à l'approximation de la consommation par des fournitures non enregistrées sur compteurs, erreurs de compteur, etc.</t>
  </si>
  <si>
    <t>Les pertes techniques sont considérées comme les pertes du système électrique qui sont causées par l'impédance du réseau, les flux courants et les approvisionnements auxiliaires. Les sources des pertes techniques peuvent être directement causées par l'investissement dans le réseau ou par l'opération du réseau. Les pertes techniques sont des pertes qui surviennent dans le réseau de distribution à cause des cables, des lignes aériennes, des transformateurs et autres équipements de sous- station que nous utilisons pour transférer l'électricité.</t>
  </si>
  <si>
    <t xml:space="preserve"> Une provision pour mauvaises créances est une estimation du montant d'argent que la société doit et qui n'est pas susceptible d'être remboursé. Elle est aussi connue comme provision pour créances douteuses ou marge pour comptes douteux. 
Une société peut faire une provisiion pour mauvaises créances en vue de couvrir des dettes qui ne sont pas suceptibles d'être remboursées durant une période comptable. La provision se basant sur une estimation de la valeur des comptes à recevoir ne sera pas collectée durant la période donnée. Une provision générale, telle que  2% des débiteurs,  peut être déduite aux fins de l'imposition. Cependant, une provision spécifique peut être déduite s'il existe des pièces justificatives qu'il est peu suceptible de rembourser les dettes.</t>
  </si>
  <si>
    <t>Le revenu sur la base d'actifs régulés est le taux de rendement sur la base d'actifs régulés, approuvé par le régulateur. En cas d'absence d'un taux de rendement approuvé par un régulateur, le même peut être considéré comme le coût moyen pondéré du capital.</t>
  </si>
  <si>
    <t>Le besoin de revenus est la somme de  tous les coûts d'exploitation et de financement ainsi que du rendement du capital investi qui doit être recouvré auprès des clients à travers le tarif, ajusté pour le revenu obtenu à partir des clients par des sources non tarifaires (par exemple, location de compteur, pénalités de retard de paiement, intérêts sur les cautions  sécuritaires).</t>
  </si>
  <si>
    <t>Une unité d'affaires stratégiques est une unité au sein d'une grande organisation qui opère comme une division séparée ayant ses propres projets et activités. Les unités d'affaires stratégiques sont des centres de rendement qui se focalisent sur un segment spécifique du marché. Dans notre contexte, le centre d'affaires stratégiques signifie la génération, la transmission, la distribution urbaine - rurale, les services institutionnels et partagés.</t>
  </si>
  <si>
    <t>Le coût moyen pondéré du capital est le taux moyen qu'une société utilitaire paie pour financer ses actifs. Il est caculé en dégageant la moyenne de toutes les sources du capital de la société (dettes et fonds propres), pondérés par la proportioin de chaque composante. Dans ce modèle, en l'absence d'un taux de revenu approuvé par un régulateur, le même peut être utilisé pour calculer le rendement sur le capital.</t>
  </si>
  <si>
    <t>Unité d'affaires stratégiques (génération, transmission, distribution-urbaine, distribution-rurale, services institutionnels &amp; partagés)</t>
  </si>
  <si>
    <t>Actifs financés par les clients ou par subventions, qui doivent être exclus lors du calcul des coûts à recouvrer des tarifs</t>
  </si>
  <si>
    <t xml:space="preserve">Réseau HT </t>
  </si>
  <si>
    <t>Réseau MT et BT  (distribution &amp; approvisionnement)</t>
  </si>
  <si>
    <t>HT - Supérieur à  66 kV</t>
  </si>
  <si>
    <t>MT -à partir de 11 kV jusqu'à 66 kV</t>
  </si>
  <si>
    <t>MT - 230 V, 400 V, etc.</t>
  </si>
  <si>
    <t>Revenu requis (RR)</t>
  </si>
  <si>
    <t>Revenu annuel requis à partir des tarifs</t>
  </si>
  <si>
    <t>Dépesnses</t>
  </si>
  <si>
    <t>Carburant, eau, produits chimiques</t>
  </si>
  <si>
    <t>Achat d'électricité</t>
  </si>
  <si>
    <t>Frais de Transmission</t>
  </si>
  <si>
    <t>Coûts du personnel</t>
  </si>
  <si>
    <t>Amortissement imputable (hormis les actifs CGF)</t>
  </si>
  <si>
    <t>Moins: Amortissement sur les actifs CGF</t>
  </si>
  <si>
    <t>Intérêts &amp; dépenses de financement</t>
  </si>
  <si>
    <t>Considérer comme zéro dans la mesure où le rendement sur toute la base d'actifs est prévu dans le RR</t>
  </si>
  <si>
    <t>Revenu des sources non tarifaires liées aux affaires d'électricité</t>
  </si>
  <si>
    <t>Intérêt sur les cautions sécuritaires des consommateurs</t>
  </si>
  <si>
    <t>Pénalités, amendes, divers, etc.</t>
  </si>
  <si>
    <t>Rendement sur la base d'actifs régulés (BAR)</t>
  </si>
  <si>
    <t>Taux</t>
  </si>
  <si>
    <t>Revenu à recouvrer à partir des tarifs</t>
  </si>
  <si>
    <t>P&amp;M, lignes, réseaux, etc.</t>
  </si>
  <si>
    <t>Immobilisations brutes financées par la compagnie (A - B)</t>
  </si>
  <si>
    <t>Période du rapport: le tout dernier exercice financier dont les données peuvent être disponibles</t>
  </si>
  <si>
    <t>Monnaie: Monnaie des états financiers</t>
  </si>
  <si>
    <t>Couverture: Affaires d'électricité seulement. Exclut d'autres affaires telles que le gaz, l'eau, , etc.</t>
  </si>
  <si>
    <t xml:space="preserve">Revenu requis à partir de toute la chaine de valeur  d'électricité (génération, achat d'électricité, transmission, distribution, approvionnement en détail) à inclure. </t>
  </si>
  <si>
    <t>Compagnie pleinement  regroupée (G+T+D): Insérer RR et BAR de toute la compagnie</t>
  </si>
  <si>
    <t>Lorsque le client est connecté à de multiples compagnies T ou D, soit agréger  RR et RAB pour toutes les compagnies soit créer des entités séparées pour chaque activité</t>
  </si>
  <si>
    <t>Les dépenses dont les titres ne sont disponibles dans le tableau adjacent devraient être incluses sous la rubrique Admin &amp; Général</t>
  </si>
  <si>
    <t xml:space="preserve">Compagnies partiellement ou entièrement dégroupées (G et T+D / G+T et D / G et T et D): Insérer RR et BAR seulement pour le client confrontant des segments, notamment, D et T (le cas échéant); utiliser les titres "Achat d'électricité", "Transmission"  pour insérer RR et BAR  pour les fonctions de génération et de transmission (le cas échéant) </t>
  </si>
  <si>
    <t>Niveaux de tension connectés</t>
  </si>
  <si>
    <t>Frais de connexion pondérés (frais de connexion X effectif d'employés)</t>
  </si>
  <si>
    <t>Information relative au client</t>
  </si>
  <si>
    <t xml:space="preserve">Ratio de la réelle consommation d'énergie </t>
  </si>
  <si>
    <t>de client</t>
  </si>
  <si>
    <t xml:space="preserve">de pointe par une catégorie particulière </t>
  </si>
  <si>
    <t>&lt;------------       Client &amp; profil de charge         ---------------&gt;</t>
  </si>
  <si>
    <t>courbe de charge d'une</t>
  </si>
  <si>
    <t>pointe du système</t>
  </si>
  <si>
    <t xml:space="preserve">catégorie de client à la  </t>
  </si>
  <si>
    <t>Ratio de pointe de la</t>
  </si>
  <si>
    <r>
      <rPr>
        <u/>
        <sz val="8"/>
        <color theme="1"/>
        <rFont val="Calibri"/>
        <family val="2"/>
      </rPr>
      <t>Energie</t>
    </r>
    <r>
      <rPr>
        <sz val="8"/>
        <color theme="1"/>
        <rFont val="Calibri"/>
        <family val="2"/>
        <scheme val="minor"/>
      </rPr>
      <t xml:space="preserve"> = GWh, électricité = MW</t>
    </r>
  </si>
  <si>
    <r>
      <rPr>
        <u/>
        <sz val="8"/>
        <color theme="1"/>
        <rFont val="Calibri"/>
        <family val="2"/>
      </rPr>
      <t>Coincident:</t>
    </r>
    <r>
      <rPr>
        <sz val="8"/>
        <color theme="1"/>
        <rFont val="Calibri"/>
        <family val="2"/>
        <scheme val="minor"/>
      </rPr>
      <t xml:space="preserve"> conforme à la pointe du système</t>
    </r>
  </si>
  <si>
    <r>
      <rPr>
        <u/>
        <sz val="8"/>
        <color theme="1"/>
        <rFont val="Calibri"/>
        <family val="2"/>
      </rPr>
      <t>Non-coincident</t>
    </r>
    <r>
      <rPr>
        <sz val="8"/>
        <color theme="1"/>
        <rFont val="Calibri"/>
        <family val="2"/>
        <scheme val="minor"/>
      </rPr>
      <t>: pointe de la catégorie</t>
    </r>
  </si>
  <si>
    <t>&lt;----------------------------------------------                         Des ventes aux besoins                          ----------------------------------------------&gt;</t>
  </si>
  <si>
    <t>Ventes = Facturées aux clients</t>
  </si>
  <si>
    <r>
      <rPr>
        <u/>
        <sz val="8"/>
        <color theme="1"/>
        <rFont val="Calibri"/>
        <family val="2"/>
      </rPr>
      <t>Consommations</t>
    </r>
    <r>
      <rPr>
        <sz val="8"/>
        <color theme="1"/>
        <rFont val="Calibri"/>
        <family val="2"/>
        <scheme val="minor"/>
      </rPr>
      <t xml:space="preserve"> = Ventes + pertes non techniques</t>
    </r>
  </si>
  <si>
    <r>
      <rPr>
        <u/>
        <sz val="8"/>
        <color theme="1"/>
        <rFont val="Calibri"/>
        <family val="2"/>
      </rPr>
      <t>Besoins</t>
    </r>
    <r>
      <rPr>
        <sz val="8"/>
        <color theme="1"/>
        <rFont val="Calibri"/>
        <family val="2"/>
        <scheme val="minor"/>
      </rPr>
      <t xml:space="preserve"> = Consommations + pertes techniques</t>
    </r>
  </si>
  <si>
    <t xml:space="preserve">Facteur de coincidence </t>
  </si>
  <si>
    <t>Ventes d'énergie (annuelles)</t>
  </si>
  <si>
    <t xml:space="preserve">Ventes NCP </t>
  </si>
  <si>
    <t>Ventes CP</t>
  </si>
  <si>
    <t>Pertes non tchniques</t>
  </si>
  <si>
    <t xml:space="preserve">Consommation NCP </t>
  </si>
  <si>
    <t xml:space="preserve">Consommation d'électricité </t>
  </si>
  <si>
    <t>Pertes techniques (énergie)</t>
  </si>
  <si>
    <t>Besoin d'énergie</t>
  </si>
  <si>
    <t>Pertes techniques (électricité)</t>
  </si>
  <si>
    <t>Demande de pointe du système</t>
  </si>
  <si>
    <t>Urbain/ Rural?</t>
  </si>
  <si>
    <t>Connecté à quelle tension?</t>
  </si>
  <si>
    <t>(entre 0 et 1)</t>
  </si>
  <si>
    <t>Nombre</t>
  </si>
  <si>
    <t>Additionner jusqu'à 100%</t>
  </si>
  <si>
    <t>Catégorie factice (s'il n'y a pas de clients HT disponibles</t>
  </si>
  <si>
    <t>Besoins d'énergie</t>
  </si>
  <si>
    <t>Poucentages de perte technique (énergie): au niveau de la tension</t>
  </si>
  <si>
    <t>Perte de  HT en % du besoin de la demande de HT</t>
  </si>
  <si>
    <t>Perte de MT en % of du besoin de la demande de la MT</t>
  </si>
  <si>
    <t>Perte de BT en  % de besoin de la demande au niveau BT</t>
  </si>
  <si>
    <r>
      <rPr>
        <i/>
        <sz val="8"/>
        <color theme="1"/>
        <rFont val="Calibri"/>
        <family val="2"/>
      </rPr>
      <t>Moins:</t>
    </r>
    <r>
      <rPr>
        <sz val="8"/>
        <color theme="1"/>
        <rFont val="Calibri"/>
        <family val="2"/>
        <scheme val="minor"/>
      </rPr>
      <t xml:space="preserve"> Consommation des clients HT </t>
    </r>
  </si>
  <si>
    <t>Compagnie complètement dégroupée à travers G, T et D: Fonctionnaliser à travers G, T et D</t>
  </si>
  <si>
    <t>Fonctionnalisation des immobilisations nettes (FIN)</t>
  </si>
  <si>
    <t>Base d'actifs régulés (BAR) fonctionnalisée</t>
  </si>
  <si>
    <t>P&amp;M, lignes, réseau, etc.</t>
  </si>
  <si>
    <t>Fonctionnalisation des actifs</t>
  </si>
  <si>
    <t>Effectif d'employés (Nombre)</t>
  </si>
  <si>
    <t>Coût aux clients</t>
  </si>
  <si>
    <t xml:space="preserve">La présente page réattribue la BAR liée à la demande fonctionnalisée (réseau) aux dépenses liées à la demande (réseau) ("facteurs") parmi les niveaux de tension. L'objet de cet exercice tient à ce que les actifs de réseau à plus haute tension sont utilisés par les clients à haute et basse tension. </t>
  </si>
  <si>
    <t>Le solde du facteur HT non attribué est alors ajouté au facteur MT pour "mettre à jour" le facteur MT. Le facteur MT 'mis à jour' est attribué à la MT sur base de la part  de la MT dans la demande de pointe, tandis que le solde non attribué du facteur MT est ajouté au facteur BT pour  obtenir le facteur BT "mis à jour".</t>
  </si>
  <si>
    <t>Lieé aux clients</t>
  </si>
  <si>
    <t>BAR liée au réseau</t>
  </si>
  <si>
    <t>Dépenses liées à l'énergie (réseau)</t>
  </si>
  <si>
    <t>Effectifs de clients</t>
  </si>
  <si>
    <t>Coût par unité lié aux clients</t>
  </si>
  <si>
    <t>Quantité</t>
  </si>
  <si>
    <t>Par coût unitaire</t>
  </si>
  <si>
    <t xml:space="preserve">Coût lié à l'énergie </t>
  </si>
  <si>
    <t>Solde d'énergie - en termes de tension</t>
  </si>
  <si>
    <t>Réallocation de la BAR en termes de 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</si>
</sst>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Red]\(0.00\)"/>
    <numFmt numFmtId="165" formatCode="0.0000"/>
    <numFmt numFmtId="166" formatCode="#,##0.000_);[Red]\(#,##0.000\)"/>
    <numFmt numFmtId="167" formatCode="0_);[Red]\(0\)"/>
    <numFmt numFmtId="168" formatCode="#,##0.000"/>
  </numFmts>
  <fonts count="24" x14ac:knownFonts="1">
    <font>
      <sz val="11"/>
      <color theme="1"/>
      <name val="Calibri"/>
      <family val="2"/>
      <scheme val="minor"/>
    </font>
    <font>
      <sz val="8"/>
      <color theme="1"/>
      <name val="Calibri"/>
      <family val="2"/>
      <scheme val="minor"/>
    </font>
    <font>
      <b/>
      <sz val="8"/>
      <color theme="1"/>
      <name val="Calibri"/>
      <family val="2"/>
      <scheme val="minor"/>
    </font>
    <font>
      <sz val="8"/>
      <color rgb="FF0000FF"/>
      <name val="Calibri"/>
      <family val="2"/>
      <scheme val="minor"/>
    </font>
    <font>
      <i/>
      <sz val="8"/>
      <color theme="1"/>
      <name val="Calibri"/>
      <family val="2"/>
      <scheme val="minor"/>
    </font>
    <font>
      <sz val="9.6"/>
      <color rgb="FF0000FF"/>
      <name val="Calibri"/>
      <family val="2"/>
    </font>
    <font>
      <i/>
      <sz val="8"/>
      <color rgb="FF0000FF"/>
      <name val="Calibri"/>
      <family val="2"/>
      <scheme val="minor"/>
    </font>
    <font>
      <u/>
      <sz val="8"/>
      <color theme="1"/>
      <name val="Calibri"/>
      <family val="2"/>
      <scheme val="minor"/>
    </font>
    <font>
      <sz val="8"/>
      <name val="Calibri"/>
      <family val="2"/>
      <scheme val="minor"/>
    </font>
    <font>
      <b/>
      <sz val="8"/>
      <name val="Calibri"/>
      <family val="2"/>
      <scheme val="minor"/>
    </font>
    <font>
      <i/>
      <sz val="8"/>
      <color theme="0" tint="-0.499984740745262"/>
      <name val="Calibri"/>
      <family val="2"/>
      <scheme val="minor"/>
    </font>
    <font>
      <u/>
      <sz val="8"/>
      <color theme="0" tint="-0.499984740745262"/>
      <name val="Calibri"/>
      <family val="2"/>
      <scheme val="minor"/>
    </font>
    <font>
      <sz val="8"/>
      <color theme="0" tint="-0.499984740745262"/>
      <name val="Calibri"/>
      <family val="2"/>
      <scheme val="minor"/>
    </font>
    <font>
      <sz val="8"/>
      <color rgb="FF3333FF"/>
      <name val="Calibri"/>
      <family val="2"/>
      <scheme val="minor"/>
    </font>
    <font>
      <sz val="8"/>
      <color rgb="FFFF0000"/>
      <name val="Calibri"/>
      <family val="2"/>
      <scheme val="minor"/>
    </font>
    <font>
      <u/>
      <sz val="8"/>
      <color theme="1"/>
      <name val="Calibri"/>
      <family val="2"/>
    </font>
    <font>
      <i/>
      <sz val="8"/>
      <color theme="1"/>
      <name val="Calibri"/>
      <family val="2"/>
    </font>
    <font>
      <i/>
      <u/>
      <sz val="8"/>
      <color theme="1"/>
      <name val="Calibri"/>
      <family val="2"/>
    </font>
    <font>
      <i/>
      <u/>
      <sz val="8"/>
      <color theme="0" tint="-0.499984740745262"/>
      <name val="Calibri"/>
      <family val="2"/>
      <scheme val="minor"/>
    </font>
    <font>
      <i/>
      <sz val="8"/>
      <name val="Calibri"/>
      <family val="2"/>
      <scheme val="minor"/>
    </font>
    <font>
      <sz val="11"/>
      <color theme="1"/>
      <name val="Calibri"/>
      <family val="2"/>
      <scheme val="minor"/>
    </font>
    <font>
      <b/>
      <i/>
      <u/>
      <sz val="8"/>
      <color theme="0" tint="-0.499984740745262"/>
      <name val="Calibri"/>
      <family val="2"/>
    </font>
    <font>
      <sz val="10"/>
      <color theme="1"/>
      <name val="Calibri"/>
      <family val="2"/>
      <scheme val="minor"/>
    </font>
    <font>
      <b/>
      <sz val="10"/>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20" fillId="0" borderId="0" applyFont="0" applyFill="0" applyBorder="0" applyAlignment="0" applyProtection="0"/>
  </cellStyleXfs>
  <cellXfs count="342">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xf>
    <xf numFmtId="40" fontId="1" fillId="0" borderId="0" xfId="0" applyNumberFormat="1" applyFont="1" applyAlignment="1">
      <alignment horizontal="center"/>
    </xf>
    <xf numFmtId="0" fontId="8" fillId="0" borderId="1" xfId="0" applyFont="1" applyBorder="1" applyAlignment="1">
      <alignment horizontal="center"/>
    </xf>
    <xf numFmtId="0" fontId="9" fillId="0" borderId="2" xfId="0" applyFont="1" applyBorder="1" applyAlignment="1">
      <alignment horizontal="left"/>
    </xf>
    <xf numFmtId="1" fontId="9" fillId="0" borderId="1" xfId="0" applyNumberFormat="1"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left"/>
    </xf>
    <xf numFmtId="0" fontId="8" fillId="0" borderId="4" xfId="0" applyFont="1" applyBorder="1"/>
    <xf numFmtId="1" fontId="8" fillId="0" borderId="3" xfId="0" applyNumberFormat="1" applyFont="1" applyBorder="1" applyAlignment="1">
      <alignment horizontal="center"/>
    </xf>
    <xf numFmtId="0" fontId="2" fillId="0" borderId="2" xfId="0" applyFont="1" applyBorder="1"/>
    <xf numFmtId="0" fontId="1" fillId="0" borderId="8" xfId="0" applyFont="1" applyBorder="1"/>
    <xf numFmtId="0" fontId="4" fillId="0" borderId="0" xfId="0" applyFont="1" applyAlignment="1">
      <alignment horizontal="left" indent="2"/>
    </xf>
    <xf numFmtId="0" fontId="1" fillId="0" borderId="9" xfId="0" applyFont="1" applyBorder="1"/>
    <xf numFmtId="0" fontId="1" fillId="0" borderId="10" xfId="0" applyFont="1" applyBorder="1"/>
    <xf numFmtId="38" fontId="2" fillId="0" borderId="1" xfId="0" applyNumberFormat="1" applyFont="1" applyBorder="1" applyAlignment="1">
      <alignment horizontal="center"/>
    </xf>
    <xf numFmtId="38" fontId="3" fillId="0" borderId="10" xfId="0" applyNumberFormat="1" applyFont="1" applyBorder="1" applyAlignment="1">
      <alignment horizontal="center"/>
    </xf>
    <xf numFmtId="38" fontId="1" fillId="0" borderId="10" xfId="0" applyNumberFormat="1" applyFont="1" applyBorder="1" applyAlignment="1">
      <alignment horizontal="center"/>
    </xf>
    <xf numFmtId="38" fontId="6" fillId="0" borderId="10" xfId="0" applyNumberFormat="1" applyFont="1" applyBorder="1" applyAlignment="1">
      <alignment horizontal="center"/>
    </xf>
    <xf numFmtId="38" fontId="2" fillId="0" borderId="10" xfId="0" applyNumberFormat="1" applyFont="1" applyBorder="1" applyAlignment="1">
      <alignment horizontal="center"/>
    </xf>
    <xf numFmtId="10" fontId="3" fillId="0" borderId="10" xfId="0" applyNumberFormat="1" applyFont="1" applyBorder="1" applyAlignment="1">
      <alignment horizontal="center"/>
    </xf>
    <xf numFmtId="0" fontId="1" fillId="0" borderId="3" xfId="0" applyFont="1" applyBorder="1"/>
    <xf numFmtId="0" fontId="1" fillId="0" borderId="0" xfId="0" applyFont="1" applyAlignment="1">
      <alignment horizontal="left" indent="1"/>
    </xf>
    <xf numFmtId="0" fontId="4" fillId="0" borderId="0" xfId="0" applyFont="1" applyAlignment="1">
      <alignment horizontal="left" indent="3"/>
    </xf>
    <xf numFmtId="0" fontId="2" fillId="0" borderId="1" xfId="0" applyFont="1" applyBorder="1" applyAlignment="1">
      <alignment horizontal="center"/>
    </xf>
    <xf numFmtId="0" fontId="2" fillId="0" borderId="10" xfId="0" applyFont="1" applyBorder="1" applyAlignment="1">
      <alignment horizontal="center"/>
    </xf>
    <xf numFmtId="0" fontId="9" fillId="0" borderId="1" xfId="0" applyFont="1" applyBorder="1" applyAlignment="1">
      <alignment horizontal="center"/>
    </xf>
    <xf numFmtId="0" fontId="9" fillId="0" borderId="3" xfId="0" applyFont="1" applyBorder="1" applyAlignment="1">
      <alignment horizontal="center"/>
    </xf>
    <xf numFmtId="0" fontId="10" fillId="0" borderId="0" xfId="0" applyFont="1" applyAlignment="1">
      <alignment horizontal="left"/>
    </xf>
    <xf numFmtId="0" fontId="11" fillId="0" borderId="0" xfId="0" applyFont="1"/>
    <xf numFmtId="0" fontId="10" fillId="0" borderId="0" xfId="0" applyFont="1"/>
    <xf numFmtId="0" fontId="12" fillId="0" borderId="0" xfId="0" applyFont="1"/>
    <xf numFmtId="38" fontId="8" fillId="0" borderId="10" xfId="0" applyNumberFormat="1" applyFont="1" applyBorder="1" applyAlignment="1">
      <alignment horizontal="center"/>
    </xf>
    <xf numFmtId="0" fontId="8" fillId="0" borderId="2" xfId="0" applyFont="1" applyBorder="1"/>
    <xf numFmtId="0" fontId="8" fillId="0" borderId="10" xfId="0" applyFont="1" applyBorder="1" applyAlignment="1">
      <alignment horizontal="center"/>
    </xf>
    <xf numFmtId="0" fontId="1" fillId="0" borderId="7" xfId="0" applyFont="1" applyBorder="1"/>
    <xf numFmtId="0" fontId="8" fillId="0" borderId="0" xfId="0" applyFont="1" applyAlignment="1">
      <alignment horizontal="left" indent="1"/>
    </xf>
    <xf numFmtId="0" fontId="8" fillId="0" borderId="0" xfId="0" applyFont="1"/>
    <xf numFmtId="0" fontId="8" fillId="0" borderId="0" xfId="0" applyFont="1" applyAlignment="1">
      <alignment horizontal="left"/>
    </xf>
    <xf numFmtId="0" fontId="8" fillId="0" borderId="4" xfId="0" applyFont="1" applyBorder="1" applyAlignment="1">
      <alignment horizontal="left" indent="1"/>
    </xf>
    <xf numFmtId="0" fontId="1" fillId="0" borderId="11" xfId="0" applyFont="1" applyBorder="1"/>
    <xf numFmtId="38" fontId="8" fillId="0" borderId="1" xfId="0" applyNumberFormat="1" applyFont="1" applyBorder="1" applyAlignment="1">
      <alignment horizontal="center"/>
    </xf>
    <xf numFmtId="38" fontId="13" fillId="0" borderId="10" xfId="0" applyNumberFormat="1" applyFont="1" applyBorder="1" applyAlignment="1">
      <alignment horizontal="center"/>
    </xf>
    <xf numFmtId="0" fontId="8" fillId="0" borderId="5" xfId="0" applyFont="1" applyBorder="1" applyAlignment="1">
      <alignment horizontal="center"/>
    </xf>
    <xf numFmtId="0" fontId="9" fillId="0" borderId="12" xfId="0" applyFont="1" applyBorder="1" applyAlignment="1">
      <alignment horizontal="left"/>
    </xf>
    <xf numFmtId="0" fontId="9" fillId="0" borderId="12" xfId="0" applyFont="1" applyBorder="1"/>
    <xf numFmtId="0" fontId="1" fillId="0" borderId="13" xfId="0" applyFont="1" applyBorder="1"/>
    <xf numFmtId="38" fontId="9" fillId="0" borderId="5" xfId="0" applyNumberFormat="1" applyFont="1" applyBorder="1" applyAlignment="1">
      <alignment horizontal="center"/>
    </xf>
    <xf numFmtId="0" fontId="7" fillId="2" borderId="6" xfId="0" applyFont="1" applyFill="1" applyBorder="1"/>
    <xf numFmtId="0" fontId="1" fillId="2" borderId="2" xfId="0" applyFont="1" applyFill="1" applyBorder="1"/>
    <xf numFmtId="0" fontId="1" fillId="2" borderId="7" xfId="0" applyFont="1" applyFill="1" applyBorder="1"/>
    <xf numFmtId="0" fontId="1" fillId="2" borderId="8" xfId="0" applyFont="1" applyFill="1" applyBorder="1"/>
    <xf numFmtId="0" fontId="1" fillId="2" borderId="0" xfId="0" applyFont="1" applyFill="1"/>
    <xf numFmtId="0" fontId="1" fillId="2" borderId="9" xfId="0" applyFont="1" applyFill="1" applyBorder="1"/>
    <xf numFmtId="0" fontId="1" fillId="2" borderId="14" xfId="0" applyFont="1" applyFill="1" applyBorder="1"/>
    <xf numFmtId="0" fontId="1" fillId="2" borderId="4" xfId="0" applyFont="1" applyFill="1" applyBorder="1"/>
    <xf numFmtId="0" fontId="1" fillId="2" borderId="11" xfId="0" applyFont="1" applyFill="1" applyBorder="1"/>
    <xf numFmtId="0" fontId="1" fillId="2" borderId="6" xfId="0" applyFont="1" applyFill="1" applyBorder="1"/>
    <xf numFmtId="0" fontId="1" fillId="0" borderId="6" xfId="0" applyFont="1" applyBorder="1"/>
    <xf numFmtId="0" fontId="1" fillId="0" borderId="2" xfId="0" applyFont="1" applyBorder="1"/>
    <xf numFmtId="0" fontId="1" fillId="0" borderId="14" xfId="0" applyFont="1" applyBorder="1"/>
    <xf numFmtId="0" fontId="1" fillId="0" borderId="4" xfId="0" applyFont="1" applyBorder="1"/>
    <xf numFmtId="0" fontId="7" fillId="2" borderId="2" xfId="0" applyFont="1" applyFill="1" applyBorder="1" applyAlignment="1">
      <alignment vertical="top" wrapText="1"/>
    </xf>
    <xf numFmtId="0" fontId="7" fillId="2" borderId="7" xfId="0" applyFont="1" applyFill="1" applyBorder="1" applyAlignment="1">
      <alignment vertical="top" wrapText="1"/>
    </xf>
    <xf numFmtId="0" fontId="1" fillId="2" borderId="8" xfId="0" applyFont="1" applyFill="1" applyBorder="1" applyAlignment="1">
      <alignment vertical="top"/>
    </xf>
    <xf numFmtId="0" fontId="1" fillId="2" borderId="0" xfId="0" applyFont="1" applyFill="1" applyAlignment="1">
      <alignment vertical="top"/>
    </xf>
    <xf numFmtId="0" fontId="1" fillId="2" borderId="9" xfId="0" applyFont="1" applyFill="1" applyBorder="1" applyAlignment="1">
      <alignment vertical="top"/>
    </xf>
    <xf numFmtId="0" fontId="1" fillId="2" borderId="14" xfId="0" applyFont="1" applyFill="1" applyBorder="1" applyAlignment="1">
      <alignment vertical="top"/>
    </xf>
    <xf numFmtId="0" fontId="1" fillId="2" borderId="4" xfId="0" applyFont="1" applyFill="1" applyBorder="1" applyAlignment="1">
      <alignment vertical="top"/>
    </xf>
    <xf numFmtId="0" fontId="1" fillId="2" borderId="11" xfId="0" applyFont="1" applyFill="1" applyBorder="1" applyAlignment="1">
      <alignment vertical="top"/>
    </xf>
    <xf numFmtId="0" fontId="1" fillId="0" borderId="7" xfId="0" applyFont="1" applyBorder="1" applyAlignment="1">
      <alignment horizontal="center"/>
    </xf>
    <xf numFmtId="0" fontId="1" fillId="0" borderId="6" xfId="0" applyFont="1" applyBorder="1" applyAlignment="1">
      <alignment horizontal="left"/>
    </xf>
    <xf numFmtId="0" fontId="1" fillId="0" borderId="8" xfId="0" applyFont="1" applyBorder="1" applyAlignment="1">
      <alignment horizontal="left"/>
    </xf>
    <xf numFmtId="0" fontId="1" fillId="0" borderId="14" xfId="0" applyFont="1" applyBorder="1" applyAlignment="1">
      <alignment horizontal="left"/>
    </xf>
    <xf numFmtId="0" fontId="1" fillId="0" borderId="9" xfId="0" applyFont="1" applyBorder="1" applyAlignment="1">
      <alignment horizontal="center"/>
    </xf>
    <xf numFmtId="0" fontId="1" fillId="0" borderId="11" xfId="0" applyFont="1" applyBorder="1" applyAlignment="1">
      <alignment horizontal="center"/>
    </xf>
    <xf numFmtId="0" fontId="7" fillId="2" borderId="6" xfId="0" applyFont="1" applyFill="1" applyBorder="1" applyAlignment="1">
      <alignment vertical="top"/>
    </xf>
    <xf numFmtId="0" fontId="3" fillId="0" borderId="2" xfId="0" applyFont="1" applyBorder="1" applyAlignment="1">
      <alignment horizontal="center"/>
    </xf>
    <xf numFmtId="9" fontId="3" fillId="0" borderId="2" xfId="0" applyNumberFormat="1" applyFont="1" applyBorder="1" applyAlignment="1">
      <alignment horizontal="center"/>
    </xf>
    <xf numFmtId="164" fontId="3" fillId="0" borderId="2" xfId="0" applyNumberFormat="1" applyFont="1" applyBorder="1" applyAlignment="1">
      <alignment horizontal="center"/>
    </xf>
    <xf numFmtId="0" fontId="3" fillId="0" borderId="0" xfId="0" applyFont="1" applyAlignment="1">
      <alignment horizontal="center"/>
    </xf>
    <xf numFmtId="9" fontId="3" fillId="0" borderId="0" xfId="0" applyNumberFormat="1" applyFont="1" applyAlignment="1">
      <alignment horizontal="center"/>
    </xf>
    <xf numFmtId="164" fontId="3" fillId="0" borderId="0" xfId="0" applyNumberFormat="1" applyFont="1" applyAlignment="1">
      <alignment horizontal="center"/>
    </xf>
    <xf numFmtId="0" fontId="3" fillId="0" borderId="4" xfId="0" applyFont="1" applyBorder="1" applyAlignment="1">
      <alignment horizontal="center"/>
    </xf>
    <xf numFmtId="9" fontId="3" fillId="0" borderId="4" xfId="0" applyNumberFormat="1" applyFont="1" applyBorder="1" applyAlignment="1">
      <alignment horizontal="center"/>
    </xf>
    <xf numFmtId="164" fontId="3" fillId="0" borderId="4" xfId="0" applyNumberFormat="1" applyFont="1" applyBorder="1" applyAlignment="1">
      <alignment horizontal="center"/>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40" fontId="1" fillId="0" borderId="2" xfId="0" applyNumberFormat="1" applyFont="1" applyBorder="1" applyAlignment="1">
      <alignment horizontal="center"/>
    </xf>
    <xf numFmtId="40" fontId="1" fillId="0" borderId="4" xfId="0" applyNumberFormat="1" applyFont="1" applyBorder="1" applyAlignment="1">
      <alignment horizontal="center"/>
    </xf>
    <xf numFmtId="40" fontId="3" fillId="0" borderId="2" xfId="0" applyNumberFormat="1" applyFont="1" applyBorder="1" applyAlignment="1">
      <alignment horizontal="center"/>
    </xf>
    <xf numFmtId="40" fontId="3" fillId="0" borderId="0" xfId="0" applyNumberFormat="1" applyFont="1" applyAlignment="1">
      <alignment horizontal="center"/>
    </xf>
    <xf numFmtId="40" fontId="3" fillId="0" borderId="4" xfId="0" applyNumberFormat="1" applyFont="1" applyBorder="1" applyAlignment="1">
      <alignment horizontal="center"/>
    </xf>
    <xf numFmtId="9" fontId="1" fillId="0" borderId="0" xfId="0" applyNumberFormat="1" applyFont="1" applyAlignment="1">
      <alignment horizontal="center"/>
    </xf>
    <xf numFmtId="40" fontId="3" fillId="0" borderId="7" xfId="0" applyNumberFormat="1" applyFont="1" applyBorder="1"/>
    <xf numFmtId="40" fontId="1" fillId="0" borderId="9" xfId="0" applyNumberFormat="1" applyFont="1" applyBorder="1"/>
    <xf numFmtId="40" fontId="1" fillId="0" borderId="11" xfId="0" applyNumberFormat="1" applyFont="1" applyBorder="1"/>
    <xf numFmtId="10" fontId="3" fillId="0" borderId="7" xfId="0" applyNumberFormat="1" applyFont="1" applyBorder="1"/>
    <xf numFmtId="10" fontId="3" fillId="0" borderId="9" xfId="0" applyNumberFormat="1" applyFont="1" applyBorder="1"/>
    <xf numFmtId="10" fontId="3" fillId="0" borderId="11" xfId="0" applyNumberFormat="1" applyFont="1" applyBorder="1"/>
    <xf numFmtId="0" fontId="4" fillId="2" borderId="0" xfId="0" applyFont="1" applyFill="1"/>
    <xf numFmtId="0" fontId="4" fillId="2" borderId="9" xfId="0" applyFont="1" applyFill="1" applyBorder="1"/>
    <xf numFmtId="0" fontId="4" fillId="2" borderId="14" xfId="0" applyFont="1" applyFill="1" applyBorder="1"/>
    <xf numFmtId="0" fontId="4" fillId="2" borderId="4" xfId="0" applyFont="1" applyFill="1" applyBorder="1"/>
    <xf numFmtId="0" fontId="4" fillId="2" borderId="11" xfId="0" applyFont="1" applyFill="1" applyBorder="1"/>
    <xf numFmtId="10" fontId="8" fillId="0" borderId="7" xfId="0" applyNumberFormat="1" applyFont="1" applyBorder="1"/>
    <xf numFmtId="10" fontId="8" fillId="0" borderId="9" xfId="0" applyNumberFormat="1" applyFont="1" applyBorder="1"/>
    <xf numFmtId="10" fontId="8" fillId="0" borderId="11" xfId="0" applyNumberFormat="1" applyFont="1" applyBorder="1"/>
    <xf numFmtId="0" fontId="7" fillId="0" borderId="8" xfId="0" applyFont="1" applyBorder="1"/>
    <xf numFmtId="0" fontId="1" fillId="0" borderId="8" xfId="0" applyFont="1" applyBorder="1" applyAlignment="1">
      <alignment horizontal="left" indent="2"/>
    </xf>
    <xf numFmtId="0" fontId="4" fillId="2" borderId="8" xfId="0" applyFont="1" applyFill="1" applyBorder="1" applyAlignment="1">
      <alignment horizontal="left" indent="2"/>
    </xf>
    <xf numFmtId="0" fontId="1" fillId="0" borderId="0" xfId="0" applyFont="1" applyAlignment="1">
      <alignment horizontal="right"/>
    </xf>
    <xf numFmtId="0" fontId="1" fillId="3" borderId="14" xfId="0" applyFont="1" applyFill="1" applyBorder="1" applyAlignment="1">
      <alignment horizontal="left"/>
    </xf>
    <xf numFmtId="0" fontId="1" fillId="3" borderId="4" xfId="0" applyFont="1" applyFill="1" applyBorder="1"/>
    <xf numFmtId="40" fontId="1" fillId="3" borderId="4" xfId="0" applyNumberFormat="1" applyFont="1" applyFill="1" applyBorder="1" applyAlignment="1">
      <alignment horizontal="center"/>
    </xf>
    <xf numFmtId="3" fontId="3" fillId="0" borderId="2" xfId="0" applyNumberFormat="1" applyFont="1" applyBorder="1" applyAlignment="1">
      <alignment horizontal="center"/>
    </xf>
    <xf numFmtId="3" fontId="3" fillId="0" borderId="0" xfId="0" applyNumberFormat="1" applyFont="1" applyAlignment="1">
      <alignment horizontal="center"/>
    </xf>
    <xf numFmtId="3" fontId="1" fillId="0" borderId="0" xfId="0" applyNumberFormat="1" applyFont="1" applyAlignment="1">
      <alignment horizontal="center"/>
    </xf>
    <xf numFmtId="10" fontId="1" fillId="0" borderId="2" xfId="0" applyNumberFormat="1" applyFont="1" applyBorder="1" applyAlignment="1">
      <alignment horizontal="center"/>
    </xf>
    <xf numFmtId="10" fontId="1" fillId="0" borderId="0" xfId="0" applyNumberFormat="1" applyFont="1" applyAlignment="1">
      <alignment horizontal="center"/>
    </xf>
    <xf numFmtId="10" fontId="1" fillId="0" borderId="4" xfId="0" applyNumberFormat="1" applyFont="1" applyBorder="1" applyAlignment="1">
      <alignment horizontal="center"/>
    </xf>
    <xf numFmtId="0" fontId="1" fillId="0" borderId="8" xfId="0" applyFont="1" applyBorder="1" applyAlignment="1">
      <alignment horizontal="center" vertical="center" wrapText="1"/>
    </xf>
    <xf numFmtId="0" fontId="2" fillId="0" borderId="4" xfId="0" applyFont="1" applyBorder="1"/>
    <xf numFmtId="38" fontId="1" fillId="0" borderId="2" xfId="0" applyNumberFormat="1" applyFont="1" applyBorder="1" applyAlignment="1">
      <alignment horizontal="center"/>
    </xf>
    <xf numFmtId="38" fontId="1" fillId="0" borderId="0" xfId="0" applyNumberFormat="1" applyFont="1" applyAlignment="1">
      <alignment horizontal="center"/>
    </xf>
    <xf numFmtId="38" fontId="1" fillId="0" borderId="4" xfId="0" applyNumberFormat="1" applyFont="1" applyBorder="1" applyAlignment="1">
      <alignment horizontal="center"/>
    </xf>
    <xf numFmtId="38" fontId="3" fillId="0" borderId="2" xfId="0" applyNumberFormat="1" applyFont="1" applyBorder="1" applyAlignment="1">
      <alignment horizontal="center"/>
    </xf>
    <xf numFmtId="38" fontId="3" fillId="0" borderId="0" xfId="0" applyNumberFormat="1" applyFont="1" applyAlignment="1">
      <alignment horizontal="center"/>
    </xf>
    <xf numFmtId="38" fontId="3" fillId="0" borderId="4" xfId="0" applyNumberFormat="1" applyFont="1" applyBorder="1" applyAlignment="1">
      <alignment horizontal="center"/>
    </xf>
    <xf numFmtId="38" fontId="1" fillId="0" borderId="0" xfId="0" applyNumberFormat="1" applyFont="1"/>
    <xf numFmtId="0" fontId="1" fillId="0" borderId="12" xfId="0" applyFont="1" applyBorder="1"/>
    <xf numFmtId="38" fontId="1" fillId="0" borderId="12" xfId="0" applyNumberFormat="1" applyFont="1" applyBorder="1"/>
    <xf numFmtId="10" fontId="1" fillId="0" borderId="12" xfId="0" applyNumberFormat="1" applyFont="1" applyBorder="1"/>
    <xf numFmtId="0" fontId="18" fillId="0" borderId="0" xfId="0" applyFont="1"/>
    <xf numFmtId="0" fontId="1" fillId="0" borderId="0" xfId="0" applyFont="1" applyAlignment="1">
      <alignment horizontal="right" wrapText="1"/>
    </xf>
    <xf numFmtId="0" fontId="10" fillId="0" borderId="8" xfId="0" applyFont="1" applyBorder="1" applyAlignment="1">
      <alignment horizontal="center" vertical="center" wrapText="1"/>
    </xf>
    <xf numFmtId="0" fontId="1" fillId="0" borderId="9" xfId="0" applyFont="1" applyBorder="1" applyAlignment="1">
      <alignment horizontal="center" vertical="center" wrapText="1"/>
    </xf>
    <xf numFmtId="0" fontId="7" fillId="0" borderId="8" xfId="0" applyFont="1" applyBorder="1" applyAlignment="1">
      <alignment horizontal="left"/>
    </xf>
    <xf numFmtId="9" fontId="3" fillId="0" borderId="0" xfId="0" applyNumberFormat="1" applyFont="1"/>
    <xf numFmtId="38" fontId="1" fillId="0" borderId="9" xfId="0" applyNumberFormat="1" applyFont="1" applyBorder="1"/>
    <xf numFmtId="38" fontId="1" fillId="0" borderId="13" xfId="0" applyNumberFormat="1" applyFont="1" applyBorder="1"/>
    <xf numFmtId="0" fontId="1" fillId="0" borderId="15" xfId="0" applyFont="1" applyBorder="1"/>
    <xf numFmtId="38" fontId="3" fillId="0" borderId="8" xfId="0" applyNumberFormat="1" applyFont="1" applyBorder="1"/>
    <xf numFmtId="38" fontId="8" fillId="0" borderId="8" xfId="0" applyNumberFormat="1" applyFont="1" applyBorder="1"/>
    <xf numFmtId="38" fontId="1" fillId="0" borderId="8" xfId="0" applyNumberFormat="1" applyFont="1" applyBorder="1"/>
    <xf numFmtId="38" fontId="1" fillId="0" borderId="15" xfId="0" applyNumberFormat="1" applyFont="1" applyBorder="1"/>
    <xf numFmtId="0" fontId="2" fillId="0" borderId="13" xfId="0" applyFont="1" applyBorder="1" applyAlignment="1">
      <alignment horizontal="right"/>
    </xf>
    <xf numFmtId="0" fontId="10" fillId="0" borderId="14" xfId="0" applyFont="1" applyBorder="1" applyAlignment="1">
      <alignment horizontal="center" vertical="center" wrapText="1"/>
    </xf>
    <xf numFmtId="9" fontId="8" fillId="0" borderId="0" xfId="0" applyNumberFormat="1" applyFont="1"/>
    <xf numFmtId="0" fontId="8" fillId="0" borderId="12" xfId="0" applyFont="1" applyBorder="1"/>
    <xf numFmtId="0" fontId="19"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10" xfId="0" applyFont="1" applyBorder="1" applyAlignment="1">
      <alignment horizontal="left" vertical="center" indent="2"/>
    </xf>
    <xf numFmtId="0" fontId="8" fillId="0" borderId="8" xfId="0" applyFont="1" applyBorder="1" applyAlignment="1">
      <alignment horizontal="left" vertical="center" indent="2"/>
    </xf>
    <xf numFmtId="0" fontId="4" fillId="0" borderId="8" xfId="0" applyFont="1" applyBorder="1" applyAlignment="1">
      <alignment horizontal="left" indent="2"/>
    </xf>
    <xf numFmtId="0" fontId="1" fillId="0" borderId="8" xfId="0" applyFont="1" applyBorder="1" applyAlignment="1">
      <alignment horizontal="left" indent="1"/>
    </xf>
    <xf numFmtId="0" fontId="4" fillId="0" borderId="8" xfId="0" applyFont="1" applyBorder="1" applyAlignment="1">
      <alignment horizontal="left"/>
    </xf>
    <xf numFmtId="0" fontId="4" fillId="0" borderId="8" xfId="0" applyFont="1" applyBorder="1" applyAlignment="1">
      <alignment horizontal="left" inden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 fillId="0" borderId="9" xfId="0" applyFont="1" applyBorder="1" applyAlignment="1">
      <alignment horizontal="right"/>
    </xf>
    <xf numFmtId="0" fontId="1" fillId="0" borderId="9" xfId="0" applyFont="1" applyBorder="1" applyAlignment="1">
      <alignment horizontal="left"/>
    </xf>
    <xf numFmtId="0" fontId="4" fillId="0" borderId="9" xfId="0" applyFont="1" applyBorder="1" applyAlignment="1">
      <alignment horizontal="left" indent="2"/>
    </xf>
    <xf numFmtId="38" fontId="2" fillId="0" borderId="15" xfId="0" applyNumberFormat="1" applyFont="1" applyBorder="1"/>
    <xf numFmtId="38" fontId="2" fillId="0" borderId="12" xfId="0" applyNumberFormat="1" applyFont="1" applyBorder="1"/>
    <xf numFmtId="0" fontId="1" fillId="0" borderId="1" xfId="0" applyFont="1" applyBorder="1" applyAlignment="1">
      <alignment horizontal="center"/>
    </xf>
    <xf numFmtId="0" fontId="1" fillId="0" borderId="10" xfId="0" applyFont="1" applyBorder="1" applyAlignment="1">
      <alignment horizontal="center"/>
    </xf>
    <xf numFmtId="0" fontId="1" fillId="0" borderId="3" xfId="0" applyFont="1" applyBorder="1" applyAlignment="1">
      <alignment horizontal="center"/>
    </xf>
    <xf numFmtId="0" fontId="3" fillId="0" borderId="7" xfId="0" applyFont="1" applyBorder="1"/>
    <xf numFmtId="0" fontId="3" fillId="0" borderId="9" xfId="0" applyFont="1" applyBorder="1"/>
    <xf numFmtId="0" fontId="3" fillId="0" borderId="11" xfId="0" applyFont="1" applyBorder="1"/>
    <xf numFmtId="38" fontId="8" fillId="0" borderId="12" xfId="0" applyNumberFormat="1" applyFont="1" applyBorder="1"/>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38" fontId="8" fillId="0" borderId="0" xfId="0" applyNumberFormat="1" applyFont="1"/>
    <xf numFmtId="0" fontId="1" fillId="0" borderId="0" xfId="0" applyFont="1" applyAlignment="1">
      <alignment horizontal="left"/>
    </xf>
    <xf numFmtId="38" fontId="2" fillId="0" borderId="13" xfId="0" applyNumberFormat="1" applyFont="1" applyBorder="1"/>
    <xf numFmtId="38" fontId="2" fillId="0" borderId="8" xfId="0" applyNumberFormat="1" applyFont="1" applyBorder="1"/>
    <xf numFmtId="38" fontId="2" fillId="0" borderId="0" xfId="0" applyNumberFormat="1" applyFont="1"/>
    <xf numFmtId="0" fontId="9" fillId="0" borderId="0" xfId="0" applyFont="1" applyAlignment="1">
      <alignment vertical="center" wrapText="1"/>
    </xf>
    <xf numFmtId="0" fontId="9" fillId="0" borderId="0" xfId="0" applyFont="1" applyAlignment="1">
      <alignment horizontal="center" vertical="center" wrapText="1"/>
    </xf>
    <xf numFmtId="0" fontId="1" fillId="0" borderId="0" xfId="0" applyFont="1" applyAlignment="1">
      <alignment vertical="top"/>
    </xf>
    <xf numFmtId="167" fontId="8" fillId="0" borderId="0" xfId="0" applyNumberFormat="1" applyFont="1" applyAlignment="1">
      <alignment horizontal="center" vertical="center" wrapText="1"/>
    </xf>
    <xf numFmtId="167" fontId="1" fillId="0" borderId="9" xfId="0" applyNumberFormat="1" applyFont="1" applyBorder="1"/>
    <xf numFmtId="38" fontId="1" fillId="0" borderId="4" xfId="0" applyNumberFormat="1" applyFont="1" applyBorder="1"/>
    <xf numFmtId="167" fontId="8" fillId="0" borderId="4" xfId="0" applyNumberFormat="1" applyFont="1" applyBorder="1" applyAlignment="1">
      <alignment horizontal="center" vertical="center" wrapText="1"/>
    </xf>
    <xf numFmtId="167" fontId="1" fillId="0" borderId="11" xfId="0" applyNumberFormat="1" applyFont="1" applyBorder="1"/>
    <xf numFmtId="38" fontId="1" fillId="0" borderId="11" xfId="0" applyNumberFormat="1" applyFont="1" applyBorder="1"/>
    <xf numFmtId="0" fontId="7" fillId="0" borderId="10" xfId="0" applyFont="1" applyBorder="1"/>
    <xf numFmtId="0" fontId="1" fillId="0" borderId="10" xfId="0" applyFont="1" applyBorder="1" applyAlignment="1">
      <alignment horizontal="left" indent="2"/>
    </xf>
    <xf numFmtId="0" fontId="1" fillId="0" borderId="3" xfId="0" applyFont="1" applyBorder="1" applyAlignment="1">
      <alignment horizontal="left" indent="2"/>
    </xf>
    <xf numFmtId="9" fontId="1" fillId="0" borderId="9" xfId="1" applyFont="1" applyBorder="1"/>
    <xf numFmtId="38" fontId="1" fillId="0" borderId="14" xfId="0" applyNumberFormat="1" applyFont="1" applyBorder="1"/>
    <xf numFmtId="9" fontId="1" fillId="0" borderId="11" xfId="1" applyFont="1" applyBorder="1"/>
    <xf numFmtId="167" fontId="8" fillId="0" borderId="9" xfId="0" applyNumberFormat="1" applyFont="1" applyBorder="1" applyAlignment="1">
      <alignment horizontal="center" vertical="center" wrapText="1"/>
    </xf>
    <xf numFmtId="167" fontId="8" fillId="0" borderId="11" xfId="0" applyNumberFormat="1" applyFont="1" applyBorder="1" applyAlignment="1">
      <alignment horizontal="center" vertical="center" wrapText="1"/>
    </xf>
    <xf numFmtId="0" fontId="1" fillId="0" borderId="5" xfId="0" applyFont="1" applyBorder="1" applyAlignment="1">
      <alignment horizontal="center" vertical="top" wrapText="1"/>
    </xf>
    <xf numFmtId="0" fontId="1" fillId="0" borderId="0" xfId="0" applyFont="1" applyAlignment="1">
      <alignment horizontal="center" vertical="top" wrapText="1"/>
    </xf>
    <xf numFmtId="38" fontId="1" fillId="2" borderId="9" xfId="0" applyNumberFormat="1" applyFont="1" applyFill="1" applyBorder="1"/>
    <xf numFmtId="0" fontId="1" fillId="0" borderId="15" xfId="0" applyFont="1" applyBorder="1" applyAlignment="1">
      <alignment horizontal="center" vertical="center" wrapText="1"/>
    </xf>
    <xf numFmtId="40" fontId="8" fillId="0" borderId="0" xfId="0" applyNumberFormat="1" applyFont="1" applyAlignment="1">
      <alignment horizontal="center"/>
    </xf>
    <xf numFmtId="9" fontId="2" fillId="0" borderId="9" xfId="1" applyFont="1" applyBorder="1"/>
    <xf numFmtId="167" fontId="9" fillId="0" borderId="0" xfId="0" applyNumberFormat="1" applyFont="1" applyAlignment="1">
      <alignment horizontal="center" vertical="center" wrapText="1"/>
    </xf>
    <xf numFmtId="38" fontId="2" fillId="0" borderId="2" xfId="0" applyNumberFormat="1" applyFont="1" applyBorder="1"/>
    <xf numFmtId="167" fontId="9" fillId="0" borderId="2" xfId="0" applyNumberFormat="1" applyFont="1" applyBorder="1" applyAlignment="1">
      <alignment horizontal="center" vertical="center" wrapText="1"/>
    </xf>
    <xf numFmtId="0" fontId="7" fillId="0" borderId="1" xfId="0" applyFont="1" applyBorder="1"/>
    <xf numFmtId="0" fontId="1" fillId="0" borderId="5" xfId="0" applyFont="1" applyBorder="1" applyAlignment="1">
      <alignment horizontal="right"/>
    </xf>
    <xf numFmtId="9" fontId="1" fillId="0" borderId="13" xfId="1" applyFont="1" applyBorder="1"/>
    <xf numFmtId="167" fontId="8" fillId="0" borderId="12" xfId="0" applyNumberFormat="1" applyFont="1" applyBorder="1" applyAlignment="1">
      <alignment horizontal="center" vertical="center" wrapText="1"/>
    </xf>
    <xf numFmtId="167" fontId="8" fillId="0" borderId="13" xfId="0" applyNumberFormat="1" applyFont="1" applyBorder="1" applyAlignment="1">
      <alignment horizontal="center" vertical="center" wrapText="1"/>
    </xf>
    <xf numFmtId="0" fontId="1" fillId="0" borderId="15"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38" fontId="2" fillId="0" borderId="1" xfId="0" applyNumberFormat="1" applyFont="1" applyBorder="1"/>
    <xf numFmtId="38" fontId="2" fillId="0" borderId="10" xfId="0" applyNumberFormat="1" applyFont="1" applyBorder="1"/>
    <xf numFmtId="38" fontId="1" fillId="0" borderId="10" xfId="0" applyNumberFormat="1" applyFont="1" applyBorder="1"/>
    <xf numFmtId="38" fontId="1" fillId="0" borderId="3" xfId="0" applyNumberFormat="1" applyFont="1" applyBorder="1"/>
    <xf numFmtId="38" fontId="1" fillId="0" borderId="5" xfId="0" applyNumberFormat="1" applyFont="1" applyBorder="1"/>
    <xf numFmtId="38" fontId="2" fillId="0" borderId="6" xfId="0" applyNumberFormat="1" applyFont="1" applyBorder="1"/>
    <xf numFmtId="9" fontId="2" fillId="0" borderId="7" xfId="1" applyFont="1" applyBorder="1"/>
    <xf numFmtId="0" fontId="1" fillId="0" borderId="5" xfId="0" applyFont="1" applyBorder="1" applyAlignment="1">
      <alignment horizontal="left" indent="2"/>
    </xf>
    <xf numFmtId="0" fontId="10" fillId="0" borderId="0" xfId="0" applyFont="1" applyAlignment="1">
      <alignment horizontal="center" wrapText="1"/>
    </xf>
    <xf numFmtId="0" fontId="1" fillId="0" borderId="0" xfId="0" applyFont="1" applyAlignment="1">
      <alignment horizontal="center" vertical="center"/>
    </xf>
    <xf numFmtId="0" fontId="10" fillId="0" borderId="0" xfId="0" applyFont="1" applyAlignment="1">
      <alignment horizontal="center" vertical="top" wrapText="1"/>
    </xf>
    <xf numFmtId="0" fontId="1" fillId="0" borderId="2" xfId="0" applyFont="1" applyBorder="1" applyAlignment="1">
      <alignment horizontal="center" vertical="top" wrapText="1"/>
    </xf>
    <xf numFmtId="38" fontId="1" fillId="0" borderId="8" xfId="0" applyNumberFormat="1" applyFont="1" applyBorder="1" applyAlignment="1">
      <alignment horizontal="center" vertical="center"/>
    </xf>
    <xf numFmtId="38" fontId="1" fillId="0" borderId="0" xfId="0" applyNumberFormat="1" applyFont="1" applyAlignment="1">
      <alignment horizontal="center" vertical="center"/>
    </xf>
    <xf numFmtId="38" fontId="1" fillId="0" borderId="9" xfId="0" applyNumberFormat="1" applyFont="1" applyBorder="1" applyAlignment="1">
      <alignment horizontal="center" vertical="center"/>
    </xf>
    <xf numFmtId="38" fontId="10" fillId="0" borderId="8" xfId="0" applyNumberFormat="1" applyFont="1" applyBorder="1" applyAlignment="1">
      <alignment horizontal="center" vertical="center" wrapText="1"/>
    </xf>
    <xf numFmtId="38" fontId="10" fillId="0" borderId="0" xfId="0" applyNumberFormat="1" applyFont="1" applyAlignment="1">
      <alignment horizontal="center" vertical="center" wrapText="1"/>
    </xf>
    <xf numFmtId="38" fontId="10" fillId="0" borderId="9" xfId="0" applyNumberFormat="1" applyFont="1" applyBorder="1" applyAlignment="1">
      <alignment horizontal="center" vertical="center" wrapText="1"/>
    </xf>
    <xf numFmtId="166" fontId="1" fillId="0" borderId="8" xfId="0" applyNumberFormat="1" applyFont="1" applyBorder="1" applyAlignment="1">
      <alignment horizontal="center" vertical="center"/>
    </xf>
    <xf numFmtId="40" fontId="1" fillId="0" borderId="0" xfId="0" applyNumberFormat="1" applyFont="1" applyAlignment="1">
      <alignment horizontal="center" vertical="center"/>
    </xf>
    <xf numFmtId="40" fontId="1" fillId="0" borderId="9" xfId="0" applyNumberFormat="1" applyFont="1" applyBorder="1" applyAlignment="1">
      <alignment horizontal="center" vertical="center"/>
    </xf>
    <xf numFmtId="38" fontId="10" fillId="0" borderId="14" xfId="0" applyNumberFormat="1" applyFont="1" applyBorder="1" applyAlignment="1">
      <alignment horizontal="center" vertical="top" wrapText="1"/>
    </xf>
    <xf numFmtId="38" fontId="10" fillId="0" borderId="4" xfId="0" applyNumberFormat="1" applyFont="1" applyBorder="1" applyAlignment="1">
      <alignment horizontal="center" vertical="top" wrapText="1"/>
    </xf>
    <xf numFmtId="38" fontId="10" fillId="0" borderId="11" xfId="0" applyNumberFormat="1" applyFont="1" applyBorder="1" applyAlignment="1">
      <alignment horizontal="center" vertical="top" wrapText="1"/>
    </xf>
    <xf numFmtId="166" fontId="1" fillId="0" borderId="0" xfId="0" applyNumberFormat="1" applyFont="1" applyAlignment="1">
      <alignment horizontal="center" vertical="center"/>
    </xf>
    <xf numFmtId="38" fontId="8" fillId="0" borderId="0" xfId="0" applyNumberFormat="1" applyFont="1" applyAlignment="1">
      <alignment horizontal="center"/>
    </xf>
    <xf numFmtId="166" fontId="1" fillId="0" borderId="6" xfId="0" applyNumberFormat="1" applyFont="1" applyBorder="1" applyAlignment="1">
      <alignment horizontal="center" vertical="center"/>
    </xf>
    <xf numFmtId="166" fontId="1" fillId="0" borderId="2" xfId="0" applyNumberFormat="1" applyFont="1" applyBorder="1" applyAlignment="1">
      <alignment horizontal="center" vertical="center"/>
    </xf>
    <xf numFmtId="166" fontId="1" fillId="0" borderId="7" xfId="0" applyNumberFormat="1" applyFont="1" applyBorder="1" applyAlignment="1">
      <alignment horizontal="center" vertical="center"/>
    </xf>
    <xf numFmtId="166" fontId="1" fillId="0" borderId="14" xfId="0" applyNumberFormat="1" applyFont="1" applyBorder="1" applyAlignment="1">
      <alignment horizontal="center" vertical="center"/>
    </xf>
    <xf numFmtId="166" fontId="1" fillId="0" borderId="4" xfId="0" applyNumberFormat="1" applyFont="1" applyBorder="1" applyAlignment="1">
      <alignment horizontal="center" vertical="center"/>
    </xf>
    <xf numFmtId="166" fontId="1" fillId="0" borderId="11" xfId="0" applyNumberFormat="1" applyFont="1" applyBorder="1" applyAlignment="1">
      <alignment horizontal="center" vertical="center"/>
    </xf>
    <xf numFmtId="40" fontId="1" fillId="0" borderId="6" xfId="0" applyNumberFormat="1" applyFont="1" applyBorder="1" applyAlignment="1">
      <alignment horizontal="center" vertical="center"/>
    </xf>
    <xf numFmtId="40" fontId="1" fillId="0" borderId="2" xfId="0" applyNumberFormat="1" applyFont="1" applyBorder="1" applyAlignment="1">
      <alignment horizontal="center" vertical="center"/>
    </xf>
    <xf numFmtId="40" fontId="1" fillId="0" borderId="7" xfId="0" applyNumberFormat="1" applyFont="1" applyBorder="1" applyAlignment="1">
      <alignment horizontal="center" vertical="center"/>
    </xf>
    <xf numFmtId="40" fontId="1" fillId="0" borderId="14" xfId="0" applyNumberFormat="1" applyFont="1" applyBorder="1" applyAlignment="1">
      <alignment horizontal="center" vertical="center"/>
    </xf>
    <xf numFmtId="40" fontId="1" fillId="0" borderId="4" xfId="0" applyNumberFormat="1" applyFont="1" applyBorder="1" applyAlignment="1">
      <alignment horizontal="center" vertical="center"/>
    </xf>
    <xf numFmtId="40" fontId="1" fillId="0" borderId="11" xfId="0" applyNumberFormat="1" applyFont="1" applyBorder="1" applyAlignment="1">
      <alignment horizontal="center" vertical="center"/>
    </xf>
    <xf numFmtId="168" fontId="1" fillId="0" borderId="0" xfId="0" applyNumberFormat="1" applyFont="1" applyAlignment="1">
      <alignment horizontal="center"/>
    </xf>
    <xf numFmtId="4" fontId="1" fillId="0" borderId="0" xfId="0" applyNumberFormat="1" applyFont="1" applyAlignment="1">
      <alignment horizontal="center"/>
    </xf>
    <xf numFmtId="0" fontId="21"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Alignment="1">
      <alignment horizontal="center"/>
    </xf>
    <xf numFmtId="40" fontId="1" fillId="0" borderId="9" xfId="0" applyNumberFormat="1" applyFont="1" applyBorder="1" applyAlignment="1">
      <alignment horizontal="center"/>
    </xf>
    <xf numFmtId="0" fontId="8" fillId="0" borderId="4" xfId="0" applyFont="1" applyBorder="1" applyAlignment="1">
      <alignment horizontal="center"/>
    </xf>
    <xf numFmtId="38" fontId="8" fillId="0" borderId="4" xfId="0" applyNumberFormat="1" applyFont="1" applyBorder="1" applyAlignment="1">
      <alignment horizontal="center"/>
    </xf>
    <xf numFmtId="40" fontId="8" fillId="0" borderId="4" xfId="0" applyNumberFormat="1" applyFont="1" applyBorder="1" applyAlignment="1">
      <alignment horizontal="center"/>
    </xf>
    <xf numFmtId="40" fontId="1" fillId="0" borderId="11" xfId="0" applyNumberFormat="1" applyFont="1" applyBorder="1" applyAlignment="1">
      <alignment horizontal="center"/>
    </xf>
    <xf numFmtId="9" fontId="8" fillId="0" borderId="0" xfId="0" applyNumberFormat="1" applyFont="1" applyAlignment="1">
      <alignment horizontal="center"/>
    </xf>
    <xf numFmtId="9" fontId="1" fillId="0" borderId="9" xfId="0" applyNumberFormat="1" applyFont="1" applyBorder="1" applyAlignment="1">
      <alignment horizontal="center"/>
    </xf>
    <xf numFmtId="9" fontId="8" fillId="0" borderId="4" xfId="0" applyNumberFormat="1" applyFont="1" applyBorder="1" applyAlignment="1">
      <alignment horizontal="center"/>
    </xf>
    <xf numFmtId="9" fontId="1" fillId="0" borderId="11" xfId="0" applyNumberFormat="1" applyFont="1" applyBorder="1" applyAlignment="1">
      <alignment horizontal="center"/>
    </xf>
    <xf numFmtId="9" fontId="1" fillId="0" borderId="2" xfId="0" applyNumberFormat="1" applyFont="1" applyBorder="1" applyAlignment="1">
      <alignment horizontal="center"/>
    </xf>
    <xf numFmtId="0" fontId="22" fillId="0" borderId="5" xfId="0" applyFont="1" applyBorder="1"/>
    <xf numFmtId="0" fontId="22" fillId="0" borderId="5" xfId="0" applyFont="1" applyBorder="1" applyAlignment="1">
      <alignment wrapText="1"/>
    </xf>
    <xf numFmtId="0" fontId="22" fillId="0" borderId="5" xfId="0" applyFont="1" applyBorder="1" applyAlignment="1">
      <alignment horizontal="left" vertical="center"/>
    </xf>
    <xf numFmtId="0" fontId="22" fillId="0" borderId="5" xfId="0" applyFont="1" applyBorder="1" applyAlignment="1">
      <alignment vertical="center"/>
    </xf>
    <xf numFmtId="0" fontId="22" fillId="0" borderId="5" xfId="0" applyFont="1" applyBorder="1" applyAlignment="1">
      <alignment vertical="center" wrapText="1"/>
    </xf>
    <xf numFmtId="0" fontId="22" fillId="0" borderId="5" xfId="0" applyFont="1" applyBorder="1" applyAlignment="1">
      <alignment horizontal="left" vertical="top" wrapText="1"/>
    </xf>
    <xf numFmtId="0" fontId="22" fillId="0" borderId="5" xfId="0" applyFont="1" applyBorder="1" applyAlignment="1">
      <alignment horizontal="left" vertical="center" wrapText="1"/>
    </xf>
    <xf numFmtId="0" fontId="22" fillId="0" borderId="10" xfId="0" applyFont="1" applyBorder="1" applyAlignment="1">
      <alignment horizontal="left" vertical="center" wrapText="1"/>
    </xf>
    <xf numFmtId="0" fontId="22" fillId="0" borderId="5" xfId="0" applyFont="1" applyBorder="1" applyAlignment="1">
      <alignment horizontal="center" vertical="center" wrapText="1"/>
    </xf>
    <xf numFmtId="0" fontId="23" fillId="4" borderId="0" xfId="0" applyFont="1" applyFill="1" applyAlignment="1">
      <alignment horizontal="center" vertical="top" wrapText="1"/>
    </xf>
    <xf numFmtId="0" fontId="23" fillId="4" borderId="0" xfId="0" applyFont="1" applyFill="1" applyAlignment="1">
      <alignment horizontal="left" vertical="top" wrapText="1"/>
    </xf>
    <xf numFmtId="0" fontId="2" fillId="0" borderId="0" xfId="0" applyFont="1" applyAlignment="1">
      <alignment horizontal="left" wrapText="1"/>
    </xf>
    <xf numFmtId="0" fontId="10"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2" fillId="0" borderId="15"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40" fontId="3" fillId="0" borderId="8" xfId="0" applyNumberFormat="1" applyFont="1" applyBorder="1" applyAlignment="1">
      <alignment horizontal="center"/>
    </xf>
    <xf numFmtId="40" fontId="3" fillId="0" borderId="9" xfId="0" applyNumberFormat="1" applyFont="1" applyBorder="1" applyAlignment="1">
      <alignment horizontal="center"/>
    </xf>
    <xf numFmtId="165" fontId="14" fillId="0" borderId="14" xfId="0" applyNumberFormat="1" applyFont="1" applyBorder="1" applyAlignment="1">
      <alignment horizontal="center"/>
    </xf>
    <xf numFmtId="165" fontId="14" fillId="0" borderId="11" xfId="0" applyNumberFormat="1"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 fillId="0" borderId="1" xfId="0" applyFont="1" applyBorder="1" applyAlignment="1">
      <alignment horizontal="center" vertical="top" wrapText="1"/>
    </xf>
    <xf numFmtId="0" fontId="2" fillId="0" borderId="10" xfId="0" applyFont="1" applyBorder="1" applyAlignment="1">
      <alignment horizontal="center" vertical="top" wrapText="1"/>
    </xf>
    <xf numFmtId="0" fontId="2" fillId="0" borderId="3" xfId="0" applyFont="1" applyBorder="1" applyAlignment="1">
      <alignment horizontal="center" vertical="top"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15"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5" xfId="0" applyFont="1" applyBorder="1" applyAlignment="1">
      <alignment horizontal="center" vertical="top"/>
    </xf>
    <xf numFmtId="0" fontId="2" fillId="0" borderId="12" xfId="0" applyFont="1" applyBorder="1" applyAlignment="1">
      <alignment horizontal="center" vertical="top"/>
    </xf>
    <xf numFmtId="0" fontId="2" fillId="0" borderId="13" xfId="0" applyFont="1" applyBorder="1" applyAlignment="1">
      <alignment horizontal="center" vertical="top"/>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5"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vertical="top"/>
    </xf>
    <xf numFmtId="0" fontId="2" fillId="0" borderId="2" xfId="0" applyFont="1" applyBorder="1" applyAlignment="1">
      <alignment horizontal="center" vertical="top"/>
    </xf>
    <xf numFmtId="0" fontId="2" fillId="0" borderId="7" xfId="0" applyFont="1" applyBorder="1" applyAlignment="1">
      <alignment horizontal="center" vertical="top"/>
    </xf>
    <xf numFmtId="0" fontId="2" fillId="0" borderId="14" xfId="0" applyFont="1" applyBorder="1" applyAlignment="1">
      <alignment horizontal="center" vertical="top"/>
    </xf>
    <xf numFmtId="0" fontId="2" fillId="0" borderId="4" xfId="0" applyFont="1" applyBorder="1" applyAlignment="1">
      <alignment horizontal="center" vertical="top"/>
    </xf>
    <xf numFmtId="0" fontId="2" fillId="0" borderId="11" xfId="0" applyFont="1" applyBorder="1" applyAlignment="1">
      <alignment horizontal="center" vertical="top"/>
    </xf>
    <xf numFmtId="0" fontId="1" fillId="0" borderId="15" xfId="0" applyFont="1" applyBorder="1" applyAlignment="1">
      <alignment horizontal="center" vertical="center" wrapText="1"/>
    </xf>
  </cellXfs>
  <cellStyles count="2">
    <cellStyle name="Normal" xfId="0" builtinId="0"/>
    <cellStyle name="Percent" xfId="1" builtinId="5"/>
  </cellStyles>
  <dxfs count="5">
    <dxf>
      <font>
        <b/>
        <i/>
        <color rgb="FFFF0000"/>
      </font>
    </dxf>
    <dxf>
      <font>
        <b/>
        <i val="0"/>
        <color theme="0"/>
      </font>
      <fill>
        <patternFill>
          <bgColor rgb="FF00B050"/>
        </patternFill>
      </fill>
    </dxf>
    <dxf>
      <font>
        <b/>
        <i val="0"/>
        <color rgb="FFFF0000"/>
      </font>
    </dxf>
    <dxf>
      <font>
        <b/>
        <i val="0"/>
        <color rgb="FFFF0000"/>
      </font>
    </dxf>
    <dxf>
      <font>
        <b/>
        <i val="0"/>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X3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37"/>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Rohan Jadhav" id="{2FD05B65-8466-4889-8932-ECA6B8833675}" userId="S::RohanJa@ad.crisil.com::c1ef33cb-65ed-4fc7-aa22-9d5f22a31a1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6" dT="2024-07-14T14:36:34.11" personId="{2FD05B65-8466-4889-8932-ECA6B8833675}" id="{7167DF97-289C-4BDA-B06A-A8CE07D4E8DD}">
    <text>Derived as difference of Requirement and Consumption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B19" dT="2024-07-15T09:29:21.40" personId="{2FD05B65-8466-4889-8932-ECA6B8833675}" id="{4555DAA6-A4E0-4A3D-BD9A-23F29896128B}">
    <text>Lines, Transformers, Substations, Systems &amp; Instrumentation, etc.</text>
  </threadedComment>
  <threadedComment ref="B20" dT="2024-07-15T09:28:36.52" personId="{2FD05B65-8466-4889-8932-ECA6B8833675}" id="{814D47C8-A3FD-48D4-BA60-943F875C431C}">
    <text xml:space="preserve">Customer service line, customer transformer, meters, etc. </text>
  </threadedComment>
  <threadedComment ref="B24" dT="2024-07-15T09:29:21.40" personId="{2FD05B65-8466-4889-8932-ECA6B8833675}" id="{A1819A11-1DA6-4476-BB57-5DD12363DE9A}">
    <text>Lines, Transformers, Substations, Systems &amp; Instrumentation, etc.</text>
  </threadedComment>
  <threadedComment ref="B25" dT="2024-07-15T09:28:36.52" personId="{2FD05B65-8466-4889-8932-ECA6B8833675}" id="{32290DFE-A17E-4BBD-93B2-78A04908F018}">
    <text xml:space="preserve">Customer service line, customer transformer, meters, etc. </text>
  </threadedComment>
  <threadedComment ref="B29" dT="2024-07-15T09:29:21.40" personId="{2FD05B65-8466-4889-8932-ECA6B8833675}" id="{262A91E0-8484-409F-A328-FA0078059EA3}">
    <text>Lines, Transformers, Substations, Systems &amp; Instrumentation, etc.</text>
  </threadedComment>
  <threadedComment ref="B30" dT="2024-07-15T09:28:36.52" personId="{2FD05B65-8466-4889-8932-ECA6B8833675}" id="{C47B3C03-8E4A-4461-B654-FE2138EAED9D}">
    <text xml:space="preserve">Customer service line, customer transformer, meters, etc. </text>
  </threadedComment>
  <threadedComment ref="B34" dT="2024-07-15T09:29:21.40" personId="{2FD05B65-8466-4889-8932-ECA6B8833675}" id="{4C85EC83-CE04-481C-82E8-74A7D83F8BD6}">
    <text>Lines, Transformers, Substations, Systems &amp; Instrumentation, etc.</text>
  </threadedComment>
  <threadedComment ref="B35" dT="2024-07-15T09:28:36.52" personId="{2FD05B65-8466-4889-8932-ECA6B8833675}" id="{FB86D427-B3D0-4040-8BD0-79DC3FF49046}">
    <text xml:space="preserve">Customer service line, customer transformer, meters, etc. </text>
  </threadedComment>
  <threadedComment ref="B39" dT="2024-07-15T09:29:21.40" personId="{2FD05B65-8466-4889-8932-ECA6B8833675}" id="{56E9936C-C410-4070-95C0-B320FAE30BB1}">
    <text>Lines, Transformers, Substations, Systems &amp; Instrumentation, etc.</text>
  </threadedComment>
  <threadedComment ref="B40" dT="2024-07-15T09:28:36.52" personId="{2FD05B65-8466-4889-8932-ECA6B8833675}" id="{783A29A9-883D-4C33-836F-47686BD5794D}">
    <text xml:space="preserve">Customer service line, customer transformer, meters, etc. </text>
  </threadedComment>
</ThreadedComment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7"/>
  <sheetViews>
    <sheetView tabSelected="1" workbookViewId="0">
      <pane xSplit="1" ySplit="2" topLeftCell="B63" activePane="bottomRight" state="frozen"/>
      <selection pane="topRight" activeCell="B1" sqref="B1"/>
      <selection pane="bottomLeft" activeCell="A3" sqref="A3"/>
      <selection pane="bottomRight" activeCell="C37" sqref="C37"/>
    </sheetView>
  </sheetViews>
  <sheetFormatPr defaultColWidth="9.1796875" defaultRowHeight="14.5" x14ac:dyDescent="0.35"/>
  <cols>
    <col min="2" max="2" width="7.1796875" customWidth="1"/>
    <col min="3" max="3" width="35.1796875" customWidth="1"/>
    <col min="4" max="4" width="72.54296875" customWidth="1"/>
  </cols>
  <sheetData>
    <row r="2" spans="2:4" x14ac:dyDescent="0.35">
      <c r="B2" s="287" t="s">
        <v>63</v>
      </c>
      <c r="C2" s="288" t="s">
        <v>112</v>
      </c>
      <c r="D2" s="288" t="s">
        <v>111</v>
      </c>
    </row>
    <row r="3" spans="2:4" ht="26" x14ac:dyDescent="0.35">
      <c r="B3" s="286">
        <v>1</v>
      </c>
      <c r="C3" s="281" t="s">
        <v>64</v>
      </c>
      <c r="D3" s="285" t="s">
        <v>101</v>
      </c>
    </row>
    <row r="4" spans="2:4" ht="52" x14ac:dyDescent="0.35">
      <c r="B4" s="286">
        <f>B3+1</f>
        <v>2</v>
      </c>
      <c r="C4" s="281" t="s">
        <v>65</v>
      </c>
      <c r="D4" s="282" t="s">
        <v>66</v>
      </c>
    </row>
    <row r="5" spans="2:4" ht="26" x14ac:dyDescent="0.35">
      <c r="B5" s="286">
        <f t="shared" ref="B5:B37" si="0">B4+1</f>
        <v>3</v>
      </c>
      <c r="C5" s="281" t="s">
        <v>67</v>
      </c>
      <c r="D5" s="282" t="s">
        <v>102</v>
      </c>
    </row>
    <row r="6" spans="2:4" ht="79" customHeight="1" x14ac:dyDescent="0.35">
      <c r="B6" s="286">
        <f t="shared" si="0"/>
        <v>4</v>
      </c>
      <c r="C6" s="281" t="s">
        <v>68</v>
      </c>
      <c r="D6" s="284" t="s">
        <v>69</v>
      </c>
    </row>
    <row r="7" spans="2:4" ht="36" customHeight="1" x14ac:dyDescent="0.35">
      <c r="B7" s="286">
        <f t="shared" si="0"/>
        <v>5</v>
      </c>
      <c r="C7" s="281" t="s">
        <v>70</v>
      </c>
      <c r="D7" s="284" t="s">
        <v>342</v>
      </c>
    </row>
    <row r="8" spans="2:4" ht="28" customHeight="1" x14ac:dyDescent="0.35">
      <c r="B8" s="286">
        <f t="shared" si="0"/>
        <v>6</v>
      </c>
      <c r="C8" s="281" t="s">
        <v>71</v>
      </c>
      <c r="D8" s="284" t="s">
        <v>343</v>
      </c>
    </row>
    <row r="9" spans="2:4" ht="27" customHeight="1" x14ac:dyDescent="0.35">
      <c r="B9" s="286">
        <f t="shared" si="0"/>
        <v>7</v>
      </c>
      <c r="C9" s="281" t="s">
        <v>72</v>
      </c>
      <c r="D9" s="284" t="s">
        <v>73</v>
      </c>
    </row>
    <row r="10" spans="2:4" ht="43" customHeight="1" x14ac:dyDescent="0.35">
      <c r="B10" s="286">
        <f t="shared" si="0"/>
        <v>8</v>
      </c>
      <c r="C10" s="281" t="s">
        <v>74</v>
      </c>
      <c r="D10" s="284" t="s">
        <v>75</v>
      </c>
    </row>
    <row r="11" spans="2:4" ht="68.5" customHeight="1" x14ac:dyDescent="0.35">
      <c r="B11" s="286">
        <f t="shared" si="0"/>
        <v>9</v>
      </c>
      <c r="C11" s="280" t="s">
        <v>76</v>
      </c>
      <c r="D11" s="284" t="s">
        <v>77</v>
      </c>
    </row>
    <row r="12" spans="2:4" ht="25" customHeight="1" x14ac:dyDescent="0.35">
      <c r="B12" s="286">
        <f t="shared" si="0"/>
        <v>10</v>
      </c>
      <c r="C12" s="281" t="s">
        <v>78</v>
      </c>
      <c r="D12" s="282" t="s">
        <v>79</v>
      </c>
    </row>
    <row r="13" spans="2:4" ht="54" customHeight="1" x14ac:dyDescent="0.35">
      <c r="B13" s="286">
        <f t="shared" si="0"/>
        <v>11</v>
      </c>
      <c r="C13" s="280" t="s">
        <v>103</v>
      </c>
      <c r="D13" s="283" t="s">
        <v>104</v>
      </c>
    </row>
    <row r="14" spans="2:4" ht="17.5" customHeight="1" x14ac:dyDescent="0.35">
      <c r="B14" s="286">
        <f t="shared" si="0"/>
        <v>12</v>
      </c>
      <c r="C14" s="281" t="s">
        <v>80</v>
      </c>
      <c r="D14" s="280" t="s">
        <v>81</v>
      </c>
    </row>
    <row r="15" spans="2:4" ht="28.5" customHeight="1" x14ac:dyDescent="0.35">
      <c r="B15" s="286">
        <f t="shared" si="0"/>
        <v>13</v>
      </c>
      <c r="C15" s="280" t="s">
        <v>105</v>
      </c>
      <c r="D15" s="284" t="s">
        <v>344</v>
      </c>
    </row>
    <row r="16" spans="2:4" ht="17.5" customHeight="1" x14ac:dyDescent="0.35">
      <c r="B16" s="286">
        <f t="shared" si="0"/>
        <v>14</v>
      </c>
      <c r="C16" s="281" t="s">
        <v>345</v>
      </c>
      <c r="D16" s="280" t="s">
        <v>346</v>
      </c>
    </row>
    <row r="17" spans="2:4" ht="17.5" customHeight="1" x14ac:dyDescent="0.35">
      <c r="B17" s="286">
        <f t="shared" si="0"/>
        <v>15</v>
      </c>
      <c r="C17" s="281" t="s">
        <v>82</v>
      </c>
      <c r="D17" s="280" t="s">
        <v>347</v>
      </c>
    </row>
    <row r="18" spans="2:4" ht="40" customHeight="1" x14ac:dyDescent="0.35">
      <c r="B18" s="286">
        <f t="shared" si="0"/>
        <v>16</v>
      </c>
      <c r="C18" s="280" t="s">
        <v>83</v>
      </c>
      <c r="D18" s="284" t="s">
        <v>106</v>
      </c>
    </row>
    <row r="19" spans="2:4" ht="52" x14ac:dyDescent="0.35">
      <c r="B19" s="286">
        <f t="shared" si="0"/>
        <v>17</v>
      </c>
      <c r="C19" s="281" t="s">
        <v>84</v>
      </c>
      <c r="D19" s="282" t="s">
        <v>107</v>
      </c>
    </row>
    <row r="20" spans="2:4" ht="26" x14ac:dyDescent="0.35">
      <c r="B20" s="286">
        <f t="shared" si="0"/>
        <v>18</v>
      </c>
      <c r="C20" s="280" t="s">
        <v>85</v>
      </c>
      <c r="D20" s="284" t="s">
        <v>86</v>
      </c>
    </row>
    <row r="21" spans="2:4" ht="26" x14ac:dyDescent="0.35">
      <c r="B21" s="286">
        <f t="shared" si="0"/>
        <v>19</v>
      </c>
      <c r="C21" s="281" t="s">
        <v>87</v>
      </c>
      <c r="D21" s="284" t="s">
        <v>348</v>
      </c>
    </row>
    <row r="22" spans="2:4" ht="26" x14ac:dyDescent="0.35">
      <c r="B22" s="286">
        <f t="shared" si="0"/>
        <v>20</v>
      </c>
      <c r="C22" s="281" t="s">
        <v>88</v>
      </c>
      <c r="D22" s="284" t="s">
        <v>349</v>
      </c>
    </row>
    <row r="23" spans="2:4" ht="26" x14ac:dyDescent="0.35">
      <c r="B23" s="286">
        <f t="shared" si="0"/>
        <v>21</v>
      </c>
      <c r="C23" s="281" t="s">
        <v>350</v>
      </c>
      <c r="D23" s="284" t="s">
        <v>351</v>
      </c>
    </row>
    <row r="24" spans="2:4" ht="26" x14ac:dyDescent="0.35">
      <c r="B24" s="286">
        <f t="shared" si="0"/>
        <v>22</v>
      </c>
      <c r="C24" s="281" t="s">
        <v>352</v>
      </c>
      <c r="D24" s="284" t="s">
        <v>353</v>
      </c>
    </row>
    <row r="25" spans="2:4" ht="52" x14ac:dyDescent="0.35">
      <c r="B25" s="286">
        <f t="shared" si="0"/>
        <v>23</v>
      </c>
      <c r="C25" s="281" t="s">
        <v>89</v>
      </c>
      <c r="D25" s="284" t="s">
        <v>90</v>
      </c>
    </row>
    <row r="26" spans="2:4" x14ac:dyDescent="0.35">
      <c r="B26" s="286">
        <f t="shared" si="0"/>
        <v>24</v>
      </c>
      <c r="C26" s="281" t="s">
        <v>93</v>
      </c>
      <c r="D26" s="278" t="s">
        <v>354</v>
      </c>
    </row>
    <row r="27" spans="2:4" ht="26" x14ac:dyDescent="0.35">
      <c r="B27" s="286">
        <f t="shared" si="0"/>
        <v>25</v>
      </c>
      <c r="C27" s="281" t="s">
        <v>91</v>
      </c>
      <c r="D27" s="284" t="s">
        <v>108</v>
      </c>
    </row>
    <row r="28" spans="2:4" ht="40.5" customHeight="1" x14ac:dyDescent="0.35">
      <c r="B28" s="286">
        <f t="shared" si="0"/>
        <v>26</v>
      </c>
      <c r="C28" s="281" t="s">
        <v>355</v>
      </c>
      <c r="D28" s="284" t="s">
        <v>356</v>
      </c>
    </row>
    <row r="29" spans="2:4" ht="52" x14ac:dyDescent="0.35">
      <c r="B29" s="286">
        <f t="shared" si="0"/>
        <v>27</v>
      </c>
      <c r="C29" s="281" t="s">
        <v>92</v>
      </c>
      <c r="D29" s="284" t="s">
        <v>357</v>
      </c>
    </row>
    <row r="30" spans="2:4" ht="91" x14ac:dyDescent="0.35">
      <c r="B30" s="286">
        <f t="shared" si="0"/>
        <v>28</v>
      </c>
      <c r="C30" s="281" t="s">
        <v>94</v>
      </c>
      <c r="D30" s="284" t="s">
        <v>358</v>
      </c>
    </row>
    <row r="31" spans="2:4" ht="117" x14ac:dyDescent="0.35">
      <c r="B31" s="286">
        <f t="shared" si="0"/>
        <v>29</v>
      </c>
      <c r="C31" s="281" t="s">
        <v>95</v>
      </c>
      <c r="D31" s="284" t="s">
        <v>359</v>
      </c>
    </row>
    <row r="32" spans="2:4" ht="78" x14ac:dyDescent="0.35">
      <c r="B32" s="286">
        <f t="shared" si="0"/>
        <v>30</v>
      </c>
      <c r="C32" s="281" t="s">
        <v>96</v>
      </c>
      <c r="D32" s="284" t="s">
        <v>109</v>
      </c>
    </row>
    <row r="33" spans="2:4" ht="26" x14ac:dyDescent="0.35">
      <c r="B33" s="286">
        <f t="shared" si="0"/>
        <v>31</v>
      </c>
      <c r="C33" s="280" t="s">
        <v>116</v>
      </c>
      <c r="D33" s="284" t="s">
        <v>110</v>
      </c>
    </row>
    <row r="34" spans="2:4" ht="39" x14ac:dyDescent="0.35">
      <c r="B34" s="286">
        <f t="shared" si="0"/>
        <v>32</v>
      </c>
      <c r="C34" s="280" t="s">
        <v>97</v>
      </c>
      <c r="D34" s="284" t="s">
        <v>360</v>
      </c>
    </row>
    <row r="35" spans="2:4" ht="65.5" x14ac:dyDescent="0.35">
      <c r="B35" s="286">
        <f t="shared" si="0"/>
        <v>33</v>
      </c>
      <c r="C35" s="280" t="s">
        <v>98</v>
      </c>
      <c r="D35" s="279" t="s">
        <v>361</v>
      </c>
    </row>
    <row r="36" spans="2:4" ht="58.5" customHeight="1" x14ac:dyDescent="0.35">
      <c r="B36" s="286">
        <f t="shared" si="0"/>
        <v>34</v>
      </c>
      <c r="C36" s="280" t="s">
        <v>99</v>
      </c>
      <c r="D36" s="284" t="s">
        <v>362</v>
      </c>
    </row>
    <row r="37" spans="2:4" ht="57.65" customHeight="1" x14ac:dyDescent="0.35">
      <c r="B37" s="286">
        <f t="shared" si="0"/>
        <v>35</v>
      </c>
      <c r="C37" s="281" t="s">
        <v>100</v>
      </c>
      <c r="D37" s="282" t="s">
        <v>363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6"/>
  <sheetViews>
    <sheetView showGridLines="0" topLeftCell="A10" zoomScale="120" zoomScaleNormal="120" workbookViewId="0">
      <selection activeCell="D10" sqref="D10"/>
    </sheetView>
  </sheetViews>
  <sheetFormatPr defaultColWidth="9.1796875" defaultRowHeight="10.5" x14ac:dyDescent="0.25"/>
  <cols>
    <col min="1" max="1" width="9.1796875" style="1"/>
    <col min="2" max="2" width="15.26953125" style="1" customWidth="1"/>
    <col min="3" max="16384" width="9.1796875" style="1"/>
  </cols>
  <sheetData>
    <row r="2" spans="2:3" x14ac:dyDescent="0.25">
      <c r="B2" s="3" t="s">
        <v>0</v>
      </c>
      <c r="C2" s="1" t="s">
        <v>113</v>
      </c>
    </row>
    <row r="3" spans="2:3" x14ac:dyDescent="0.25">
      <c r="B3" s="1" t="s">
        <v>0</v>
      </c>
      <c r="C3" s="1" t="s">
        <v>114</v>
      </c>
    </row>
    <row r="5" spans="2:3" x14ac:dyDescent="0.25">
      <c r="B5" s="1" t="s">
        <v>115</v>
      </c>
      <c r="C5" s="1" t="s">
        <v>364</v>
      </c>
    </row>
    <row r="6" spans="2:3" x14ac:dyDescent="0.25">
      <c r="B6" s="1" t="s">
        <v>365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79"/>
  <sheetViews>
    <sheetView showGridLines="0" zoomScale="120" zoomScaleNormal="120" workbookViewId="0">
      <selection activeCell="J19" sqref="J19"/>
    </sheetView>
  </sheetViews>
  <sheetFormatPr defaultColWidth="9.1796875" defaultRowHeight="10.5" x14ac:dyDescent="0.25"/>
  <cols>
    <col min="1" max="1" width="4.81640625" style="1" customWidth="1"/>
    <col min="2" max="2" width="5" style="4" customWidth="1"/>
    <col min="3" max="6" width="8.81640625" style="1" customWidth="1"/>
    <col min="7" max="7" width="9.1796875" style="1" customWidth="1"/>
    <col min="8" max="16384" width="9.1796875" style="1"/>
  </cols>
  <sheetData>
    <row r="2" spans="2:10" x14ac:dyDescent="0.25">
      <c r="I2" s="4" t="s">
        <v>371</v>
      </c>
    </row>
    <row r="5" spans="2:10" x14ac:dyDescent="0.25">
      <c r="E5" s="4" t="s">
        <v>372</v>
      </c>
      <c r="F5" s="4"/>
    </row>
    <row r="6" spans="2:10" ht="12.5" x14ac:dyDescent="0.3">
      <c r="E6" s="5" t="s">
        <v>2</v>
      </c>
      <c r="F6" s="5"/>
      <c r="G6" s="33"/>
    </row>
    <row r="7" spans="2:10" ht="12.5" x14ac:dyDescent="0.3">
      <c r="E7" s="5" t="s">
        <v>117</v>
      </c>
      <c r="F7" s="5"/>
      <c r="G7" s="33"/>
    </row>
    <row r="8" spans="2:10" x14ac:dyDescent="0.25">
      <c r="G8" s="6"/>
      <c r="J8" s="34" t="s">
        <v>8</v>
      </c>
    </row>
    <row r="9" spans="2:10" x14ac:dyDescent="0.25">
      <c r="B9" s="29" t="s">
        <v>1</v>
      </c>
      <c r="C9" s="15" t="s">
        <v>373</v>
      </c>
      <c r="D9" s="15"/>
      <c r="E9" s="15"/>
      <c r="F9" s="15"/>
      <c r="G9" s="20">
        <f>SUM(G10,G11,G14,G15,G16,G17,G18,G21,G22)</f>
        <v>1446.6552906539489</v>
      </c>
      <c r="I9" s="36">
        <v>1</v>
      </c>
      <c r="J9" s="33" t="s">
        <v>390</v>
      </c>
    </row>
    <row r="10" spans="2:10" x14ac:dyDescent="0.25">
      <c r="B10" s="30"/>
      <c r="C10" s="27" t="s">
        <v>374</v>
      </c>
      <c r="G10" s="21">
        <v>69.063000000000002</v>
      </c>
      <c r="I10" s="36">
        <v>2</v>
      </c>
      <c r="J10" s="33" t="s">
        <v>391</v>
      </c>
    </row>
    <row r="11" spans="2:10" x14ac:dyDescent="0.25">
      <c r="B11" s="30"/>
      <c r="C11" s="27" t="s">
        <v>375</v>
      </c>
      <c r="G11" s="37">
        <f>G12+G13</f>
        <v>681.37</v>
      </c>
      <c r="I11" s="36">
        <v>3</v>
      </c>
      <c r="J11" s="33" t="s">
        <v>392</v>
      </c>
    </row>
    <row r="12" spans="2:10" x14ac:dyDescent="0.25">
      <c r="B12" s="30"/>
      <c r="C12" s="28" t="s">
        <v>264</v>
      </c>
      <c r="G12" s="23">
        <v>511.02750000000003</v>
      </c>
      <c r="I12" s="36">
        <v>4</v>
      </c>
      <c r="J12" s="35" t="s">
        <v>393</v>
      </c>
    </row>
    <row r="13" spans="2:10" x14ac:dyDescent="0.25">
      <c r="B13" s="30"/>
      <c r="C13" s="28" t="s">
        <v>148</v>
      </c>
      <c r="G13" s="23">
        <v>170.3425</v>
      </c>
      <c r="I13" s="36">
        <v>5</v>
      </c>
      <c r="J13" s="35" t="s">
        <v>394</v>
      </c>
    </row>
    <row r="14" spans="2:10" x14ac:dyDescent="0.25">
      <c r="B14" s="30"/>
      <c r="C14" s="27" t="s">
        <v>376</v>
      </c>
      <c r="G14" s="21">
        <v>0</v>
      </c>
      <c r="I14" s="36">
        <v>6</v>
      </c>
      <c r="J14" s="35" t="s">
        <v>397</v>
      </c>
    </row>
    <row r="15" spans="2:10" x14ac:dyDescent="0.25">
      <c r="B15" s="30"/>
      <c r="C15" s="27" t="s">
        <v>267</v>
      </c>
      <c r="G15" s="21">
        <v>45.035999999999994</v>
      </c>
      <c r="I15" s="36">
        <v>7</v>
      </c>
      <c r="J15" s="35" t="s">
        <v>395</v>
      </c>
    </row>
    <row r="16" spans="2:10" x14ac:dyDescent="0.25">
      <c r="B16" s="30"/>
      <c r="C16" s="27" t="s">
        <v>377</v>
      </c>
      <c r="G16" s="21">
        <v>334.36099999999999</v>
      </c>
      <c r="I16" s="36">
        <v>8</v>
      </c>
      <c r="J16" s="35" t="s">
        <v>396</v>
      </c>
    </row>
    <row r="17" spans="2:9" x14ac:dyDescent="0.25">
      <c r="B17" s="30"/>
      <c r="C17" s="27" t="s">
        <v>268</v>
      </c>
      <c r="G17" s="21">
        <v>130.64300000000003</v>
      </c>
      <c r="I17" s="36"/>
    </row>
    <row r="18" spans="2:9" x14ac:dyDescent="0.25">
      <c r="B18" s="30"/>
      <c r="C18" s="27" t="s">
        <v>378</v>
      </c>
      <c r="G18" s="22">
        <f>G19-G20</f>
        <v>175.08929065394892</v>
      </c>
    </row>
    <row r="19" spans="2:9" x14ac:dyDescent="0.25">
      <c r="B19" s="30"/>
      <c r="C19" s="28" t="s">
        <v>269</v>
      </c>
      <c r="D19" s="17"/>
      <c r="E19" s="17"/>
      <c r="F19" s="17"/>
      <c r="G19" s="23">
        <v>199.63800000000001</v>
      </c>
    </row>
    <row r="20" spans="2:9" x14ac:dyDescent="0.25">
      <c r="B20" s="30"/>
      <c r="C20" s="28" t="s">
        <v>379</v>
      </c>
      <c r="D20" s="17"/>
      <c r="E20" s="17"/>
      <c r="F20" s="17"/>
      <c r="G20" s="23">
        <v>24.548709346051073</v>
      </c>
    </row>
    <row r="21" spans="2:9" x14ac:dyDescent="0.25">
      <c r="B21" s="30"/>
      <c r="C21" s="27" t="s">
        <v>380</v>
      </c>
      <c r="G21" s="21">
        <v>0</v>
      </c>
      <c r="H21" s="35" t="s">
        <v>381</v>
      </c>
    </row>
    <row r="22" spans="2:9" x14ac:dyDescent="0.25">
      <c r="B22" s="30"/>
      <c r="C22" s="27" t="s">
        <v>95</v>
      </c>
      <c r="G22" s="21">
        <v>11.093</v>
      </c>
    </row>
    <row r="23" spans="2:9" x14ac:dyDescent="0.25">
      <c r="B23" s="30"/>
      <c r="G23" s="19"/>
    </row>
    <row r="24" spans="2:9" ht="23.25" customHeight="1" x14ac:dyDescent="0.25">
      <c r="B24" s="30" t="s">
        <v>4</v>
      </c>
      <c r="C24" s="289" t="s">
        <v>382</v>
      </c>
      <c r="D24" s="289"/>
      <c r="E24" s="289"/>
      <c r="F24" s="289"/>
      <c r="G24" s="24">
        <f>SUM(G25:G28)</f>
        <v>23.233999999999998</v>
      </c>
    </row>
    <row r="25" spans="2:9" x14ac:dyDescent="0.25">
      <c r="B25" s="30"/>
      <c r="C25" s="27" t="s">
        <v>383</v>
      </c>
      <c r="G25" s="21">
        <v>21.45</v>
      </c>
    </row>
    <row r="26" spans="2:9" x14ac:dyDescent="0.25">
      <c r="B26" s="30"/>
      <c r="C26" s="27" t="s">
        <v>96</v>
      </c>
      <c r="G26" s="21">
        <v>1.784</v>
      </c>
    </row>
    <row r="27" spans="2:9" x14ac:dyDescent="0.25">
      <c r="B27" s="30"/>
      <c r="C27" s="27" t="s">
        <v>89</v>
      </c>
      <c r="G27" s="21">
        <v>0</v>
      </c>
    </row>
    <row r="28" spans="2:9" x14ac:dyDescent="0.25">
      <c r="B28" s="30"/>
      <c r="C28" s="27" t="s">
        <v>384</v>
      </c>
      <c r="G28" s="21">
        <v>0</v>
      </c>
    </row>
    <row r="29" spans="2:9" x14ac:dyDescent="0.25">
      <c r="B29" s="30"/>
      <c r="G29" s="19"/>
    </row>
    <row r="30" spans="2:9" x14ac:dyDescent="0.25">
      <c r="B30" s="30" t="s">
        <v>5</v>
      </c>
      <c r="C30" s="2" t="s">
        <v>385</v>
      </c>
      <c r="D30" s="2"/>
      <c r="E30" s="2"/>
      <c r="F30" s="2"/>
      <c r="G30" s="24">
        <f>G31*G32</f>
        <v>507.78078875034822</v>
      </c>
    </row>
    <row r="31" spans="2:9" x14ac:dyDescent="0.25">
      <c r="B31" s="30"/>
      <c r="C31" s="27" t="s">
        <v>386</v>
      </c>
      <c r="G31" s="25">
        <v>0.104</v>
      </c>
    </row>
    <row r="32" spans="2:9" x14ac:dyDescent="0.25">
      <c r="B32" s="30"/>
      <c r="C32" s="27" t="s">
        <v>299</v>
      </c>
      <c r="G32" s="22">
        <f>G66</f>
        <v>4882.5075841379639</v>
      </c>
    </row>
    <row r="33" spans="2:11" x14ac:dyDescent="0.25">
      <c r="B33" s="30"/>
      <c r="G33" s="26"/>
    </row>
    <row r="34" spans="2:11" x14ac:dyDescent="0.25">
      <c r="B34" s="31" t="s">
        <v>6</v>
      </c>
      <c r="C34" s="9" t="s">
        <v>387</v>
      </c>
      <c r="D34" s="9"/>
      <c r="E34" s="9"/>
      <c r="F34" s="9"/>
      <c r="G34" s="10">
        <f>G9-G24+G30</f>
        <v>1931.2020794042971</v>
      </c>
    </row>
    <row r="35" spans="2:11" x14ac:dyDescent="0.25">
      <c r="B35" s="32"/>
      <c r="C35" s="12" t="s">
        <v>7</v>
      </c>
      <c r="D35" s="12"/>
      <c r="E35" s="12"/>
      <c r="F35" s="12"/>
      <c r="G35" s="14"/>
    </row>
    <row r="38" spans="2:11" x14ac:dyDescent="0.25">
      <c r="E38" s="4" t="s">
        <v>116</v>
      </c>
    </row>
    <row r="39" spans="2:11" ht="12.5" x14ac:dyDescent="0.3">
      <c r="E39" s="5" t="s">
        <v>2</v>
      </c>
      <c r="F39" s="5"/>
      <c r="G39" s="33"/>
    </row>
    <row r="40" spans="2:11" ht="12.5" x14ac:dyDescent="0.3">
      <c r="E40" s="5" t="s">
        <v>117</v>
      </c>
      <c r="F40" s="5"/>
      <c r="G40" s="33"/>
    </row>
    <row r="41" spans="2:11" x14ac:dyDescent="0.25">
      <c r="G41" s="6"/>
      <c r="J41" s="34" t="s">
        <v>8</v>
      </c>
    </row>
    <row r="42" spans="2:11" x14ac:dyDescent="0.25">
      <c r="B42" s="8" t="s">
        <v>1</v>
      </c>
      <c r="C42" s="38" t="s">
        <v>118</v>
      </c>
      <c r="D42" s="38"/>
      <c r="E42" s="38"/>
      <c r="F42" s="40"/>
      <c r="G42" s="46">
        <f>SUM(G43:G45)</f>
        <v>7613.9230000000007</v>
      </c>
      <c r="I42" s="36">
        <v>1</v>
      </c>
      <c r="J42" s="33" t="s">
        <v>135</v>
      </c>
    </row>
    <row r="43" spans="2:11" x14ac:dyDescent="0.25">
      <c r="B43" s="39"/>
      <c r="C43" s="41" t="s">
        <v>388</v>
      </c>
      <c r="D43" s="42"/>
      <c r="E43" s="42"/>
      <c r="F43" s="18"/>
      <c r="G43" s="21">
        <v>7125.8270000000002</v>
      </c>
      <c r="I43" s="36">
        <v>2</v>
      </c>
      <c r="J43" s="33" t="s">
        <v>136</v>
      </c>
    </row>
    <row r="44" spans="2:11" x14ac:dyDescent="0.25">
      <c r="B44" s="39"/>
      <c r="C44" s="41" t="s">
        <v>119</v>
      </c>
      <c r="D44" s="42"/>
      <c r="E44" s="42"/>
      <c r="F44" s="18"/>
      <c r="G44" s="21">
        <v>313.48700000000002</v>
      </c>
      <c r="J44" s="36"/>
      <c r="K44" s="33"/>
    </row>
    <row r="45" spans="2:11" x14ac:dyDescent="0.25">
      <c r="B45" s="39"/>
      <c r="C45" s="41" t="s">
        <v>120</v>
      </c>
      <c r="D45" s="42"/>
      <c r="E45" s="42"/>
      <c r="F45" s="18"/>
      <c r="G45" s="21">
        <v>174.60900000000001</v>
      </c>
    </row>
    <row r="46" spans="2:11" x14ac:dyDescent="0.25">
      <c r="B46" s="39" t="s">
        <v>4</v>
      </c>
      <c r="C46" s="43" t="s">
        <v>121</v>
      </c>
      <c r="D46" s="42"/>
      <c r="E46" s="42"/>
      <c r="F46" s="18"/>
      <c r="G46" s="21">
        <v>1119.357299911042</v>
      </c>
    </row>
    <row r="47" spans="2:11" x14ac:dyDescent="0.25">
      <c r="B47" s="39" t="s">
        <v>5</v>
      </c>
      <c r="C47" s="43" t="s">
        <v>389</v>
      </c>
      <c r="D47" s="42"/>
      <c r="E47" s="42"/>
      <c r="F47" s="18"/>
      <c r="G47" s="37">
        <f>G42-G46</f>
        <v>6494.5657000889587</v>
      </c>
    </row>
    <row r="48" spans="2:11" x14ac:dyDescent="0.25">
      <c r="B48" s="39"/>
      <c r="C48" s="43"/>
      <c r="D48" s="42"/>
      <c r="E48" s="42"/>
      <c r="F48" s="18"/>
      <c r="G48" s="37"/>
    </row>
    <row r="49" spans="2:7" x14ac:dyDescent="0.25">
      <c r="B49" s="39" t="s">
        <v>6</v>
      </c>
      <c r="C49" s="43" t="s">
        <v>122</v>
      </c>
      <c r="D49" s="42"/>
      <c r="E49" s="42"/>
      <c r="F49" s="18"/>
      <c r="G49" s="37">
        <f>SUM(G50:G52)</f>
        <v>3647.1420000000003</v>
      </c>
    </row>
    <row r="50" spans="2:7" x14ac:dyDescent="0.25">
      <c r="B50" s="39"/>
      <c r="C50" s="41" t="s">
        <v>388</v>
      </c>
      <c r="D50" s="42"/>
      <c r="E50" s="42"/>
      <c r="F50" s="18"/>
      <c r="G50" s="47">
        <v>3387.739</v>
      </c>
    </row>
    <row r="51" spans="2:7" x14ac:dyDescent="0.25">
      <c r="B51" s="39"/>
      <c r="C51" s="41" t="s">
        <v>123</v>
      </c>
      <c r="D51" s="42"/>
      <c r="E51" s="42"/>
      <c r="F51" s="18"/>
      <c r="G51" s="47">
        <v>141.66800000000001</v>
      </c>
    </row>
    <row r="52" spans="2:7" x14ac:dyDescent="0.25">
      <c r="B52" s="39"/>
      <c r="C52" s="41" t="s">
        <v>120</v>
      </c>
      <c r="D52" s="42"/>
      <c r="E52" s="42"/>
      <c r="F52" s="18"/>
      <c r="G52" s="47">
        <v>117.735</v>
      </c>
    </row>
    <row r="53" spans="2:7" x14ac:dyDescent="0.25">
      <c r="B53" s="39" t="s">
        <v>9</v>
      </c>
      <c r="C53" s="43" t="s">
        <v>124</v>
      </c>
      <c r="D53" s="42"/>
      <c r="E53" s="42"/>
      <c r="F53" s="18"/>
      <c r="G53" s="21">
        <v>448.47488404900571</v>
      </c>
    </row>
    <row r="54" spans="2:7" x14ac:dyDescent="0.25">
      <c r="B54" s="39" t="s">
        <v>10</v>
      </c>
      <c r="C54" s="43" t="s">
        <v>125</v>
      </c>
      <c r="D54" s="42"/>
      <c r="E54" s="42"/>
      <c r="F54" s="18"/>
      <c r="G54" s="37">
        <f>G49-G53</f>
        <v>3198.6671159509947</v>
      </c>
    </row>
    <row r="55" spans="2:7" x14ac:dyDescent="0.25">
      <c r="B55" s="39"/>
      <c r="C55" s="43" t="s">
        <v>126</v>
      </c>
      <c r="D55" s="42"/>
      <c r="E55" s="42"/>
      <c r="F55" s="18"/>
      <c r="G55" s="37"/>
    </row>
    <row r="56" spans="2:7" x14ac:dyDescent="0.25">
      <c r="B56" s="39"/>
      <c r="C56" s="41"/>
      <c r="D56" s="42"/>
      <c r="E56" s="42"/>
      <c r="F56" s="18"/>
      <c r="G56" s="37"/>
    </row>
    <row r="57" spans="2:7" x14ac:dyDescent="0.25">
      <c r="B57" s="39" t="s">
        <v>11</v>
      </c>
      <c r="C57" s="43" t="s">
        <v>127</v>
      </c>
      <c r="D57" s="42"/>
      <c r="E57" s="42"/>
      <c r="F57" s="18"/>
      <c r="G57" s="37">
        <f>G47-G54</f>
        <v>3295.898584137964</v>
      </c>
    </row>
    <row r="58" spans="2:7" x14ac:dyDescent="0.25">
      <c r="B58" s="39"/>
      <c r="C58" s="43"/>
      <c r="D58" s="42"/>
      <c r="E58" s="42"/>
      <c r="F58" s="18"/>
      <c r="G58" s="37"/>
    </row>
    <row r="59" spans="2:7" x14ac:dyDescent="0.25">
      <c r="B59" s="39" t="s">
        <v>12</v>
      </c>
      <c r="C59" s="43" t="s">
        <v>128</v>
      </c>
      <c r="D59" s="42"/>
      <c r="E59" s="42"/>
      <c r="F59" s="18"/>
      <c r="G59" s="47">
        <v>1487.4369999999999</v>
      </c>
    </row>
    <row r="60" spans="2:7" x14ac:dyDescent="0.25">
      <c r="B60" s="39" t="s">
        <v>13</v>
      </c>
      <c r="C60" s="43" t="s">
        <v>222</v>
      </c>
      <c r="D60" s="42"/>
      <c r="E60" s="42"/>
      <c r="F60" s="18"/>
      <c r="G60" s="37">
        <f>G61+G62-G63-G64</f>
        <v>99.172000000000068</v>
      </c>
    </row>
    <row r="61" spans="2:7" x14ac:dyDescent="0.25">
      <c r="B61" s="39"/>
      <c r="C61" s="41" t="s">
        <v>129</v>
      </c>
      <c r="D61" s="42"/>
      <c r="E61" s="42"/>
      <c r="F61" s="18"/>
      <c r="G61" s="37">
        <f>SUM(G10,G15,G16,G17)/12</f>
        <v>48.258583333333341</v>
      </c>
    </row>
    <row r="62" spans="2:7" x14ac:dyDescent="0.25">
      <c r="B62" s="39"/>
      <c r="C62" s="41" t="s">
        <v>130</v>
      </c>
      <c r="D62" s="42"/>
      <c r="E62" s="42"/>
      <c r="F62" s="18"/>
      <c r="G62" s="37">
        <f>Customer!AG43/6</f>
        <v>174.38750000000005</v>
      </c>
    </row>
    <row r="63" spans="2:7" x14ac:dyDescent="0.25">
      <c r="B63" s="39"/>
      <c r="C63" s="41" t="s">
        <v>131</v>
      </c>
      <c r="D63" s="42"/>
      <c r="E63" s="42"/>
      <c r="F63" s="18"/>
      <c r="G63" s="37">
        <f>SUM(G10,G11,G14)/12</f>
        <v>62.53608333333333</v>
      </c>
    </row>
    <row r="64" spans="2:7" x14ac:dyDescent="0.25">
      <c r="B64" s="39"/>
      <c r="C64" s="41" t="s">
        <v>132</v>
      </c>
      <c r="D64" s="42"/>
      <c r="E64" s="42"/>
      <c r="F64" s="18"/>
      <c r="G64" s="47">
        <v>60.938000000000002</v>
      </c>
    </row>
    <row r="65" spans="2:11" x14ac:dyDescent="0.25">
      <c r="B65" s="11"/>
      <c r="C65" s="44"/>
      <c r="D65" s="13"/>
      <c r="E65" s="13"/>
      <c r="F65" s="45"/>
      <c r="G65" s="37"/>
    </row>
    <row r="66" spans="2:11" x14ac:dyDescent="0.25">
      <c r="B66" s="48" t="s">
        <v>14</v>
      </c>
      <c r="C66" s="49" t="s">
        <v>133</v>
      </c>
      <c r="D66" s="50"/>
      <c r="E66" s="50"/>
      <c r="F66" s="51"/>
      <c r="G66" s="52">
        <f>G57+G59+G60</f>
        <v>4882.5075841379639</v>
      </c>
    </row>
    <row r="69" spans="2:11" x14ac:dyDescent="0.25">
      <c r="E69" s="4" t="s">
        <v>137</v>
      </c>
    </row>
    <row r="70" spans="2:11" ht="12.5" x14ac:dyDescent="0.3">
      <c r="E70" s="5" t="s">
        <v>2</v>
      </c>
    </row>
    <row r="71" spans="2:11" x14ac:dyDescent="0.25">
      <c r="J71" s="34" t="s">
        <v>8</v>
      </c>
    </row>
    <row r="72" spans="2:11" x14ac:dyDescent="0.25">
      <c r="B72" s="175">
        <v>1</v>
      </c>
      <c r="C72" s="64" t="s">
        <v>134</v>
      </c>
      <c r="D72" s="64"/>
      <c r="E72" s="64"/>
      <c r="F72" s="40"/>
      <c r="G72" s="178">
        <v>500</v>
      </c>
      <c r="I72" s="36">
        <v>1</v>
      </c>
      <c r="J72" s="33" t="s">
        <v>138</v>
      </c>
    </row>
    <row r="73" spans="2:11" x14ac:dyDescent="0.25">
      <c r="B73" s="176">
        <v>2</v>
      </c>
      <c r="C73" s="1" t="s">
        <v>366</v>
      </c>
      <c r="F73" s="18"/>
      <c r="G73" s="179">
        <v>150</v>
      </c>
      <c r="I73" s="36">
        <v>2</v>
      </c>
      <c r="J73" s="33" t="s">
        <v>139</v>
      </c>
    </row>
    <row r="74" spans="2:11" x14ac:dyDescent="0.25">
      <c r="B74" s="177">
        <v>3</v>
      </c>
      <c r="C74" s="66" t="s">
        <v>367</v>
      </c>
      <c r="D74" s="66"/>
      <c r="E74" s="66"/>
      <c r="F74" s="45"/>
      <c r="G74" s="180">
        <v>1200</v>
      </c>
      <c r="I74" s="36">
        <v>3</v>
      </c>
      <c r="J74" s="33" t="s">
        <v>140</v>
      </c>
    </row>
    <row r="75" spans="2:11" x14ac:dyDescent="0.25">
      <c r="G75" s="1">
        <f>SUM(G72:G74)</f>
        <v>1850</v>
      </c>
      <c r="I75" s="36"/>
      <c r="J75" s="33"/>
    </row>
    <row r="76" spans="2:11" x14ac:dyDescent="0.25">
      <c r="J76" s="53" t="s">
        <v>141</v>
      </c>
      <c r="K76" s="55"/>
    </row>
    <row r="77" spans="2:11" x14ac:dyDescent="0.25">
      <c r="J77" s="56" t="s">
        <v>368</v>
      </c>
      <c r="K77" s="58"/>
    </row>
    <row r="78" spans="2:11" x14ac:dyDescent="0.25">
      <c r="J78" s="56" t="s">
        <v>369</v>
      </c>
      <c r="K78" s="58"/>
    </row>
    <row r="79" spans="2:11" x14ac:dyDescent="0.25">
      <c r="J79" s="59" t="s">
        <v>370</v>
      </c>
      <c r="K79" s="61"/>
    </row>
  </sheetData>
  <mergeCells count="1">
    <mergeCell ref="C24:F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L43"/>
  <sheetViews>
    <sheetView showGridLines="0" zoomScale="120" zoomScaleNormal="120" workbookViewId="0">
      <pane xSplit="5" ySplit="11" topLeftCell="F12" activePane="bottomRight" state="frozen"/>
      <selection pane="topRight" activeCell="F1" sqref="F1"/>
      <selection pane="bottomLeft" activeCell="A10" sqref="A10"/>
      <selection pane="bottomRight" activeCell="C42" sqref="C42"/>
    </sheetView>
  </sheetViews>
  <sheetFormatPr defaultColWidth="9.1796875" defaultRowHeight="10.5" x14ac:dyDescent="0.25"/>
  <cols>
    <col min="1" max="2" width="5.54296875" style="1" customWidth="1"/>
    <col min="3" max="5" width="9.1796875" style="1"/>
    <col min="6" max="6" width="10.453125" style="1" customWidth="1"/>
    <col min="7" max="27" width="9.1796875" style="1"/>
    <col min="28" max="28" width="13.54296875" style="1" customWidth="1"/>
    <col min="29" max="16384" width="9.1796875" style="1"/>
  </cols>
  <sheetData>
    <row r="2" spans="2:38" x14ac:dyDescent="0.25">
      <c r="L2" s="4" t="s">
        <v>400</v>
      </c>
    </row>
    <row r="4" spans="2:38" ht="11.25" customHeight="1" x14ac:dyDescent="0.25">
      <c r="C4" s="53" t="s">
        <v>398</v>
      </c>
      <c r="D4" s="55"/>
      <c r="E4" s="16"/>
      <c r="F4" s="81" t="s">
        <v>88</v>
      </c>
      <c r="G4" s="67"/>
      <c r="H4" s="68"/>
      <c r="J4" s="81" t="s">
        <v>70</v>
      </c>
      <c r="K4" s="68"/>
      <c r="M4" s="62" t="s">
        <v>409</v>
      </c>
      <c r="N4" s="54"/>
      <c r="O4" s="55"/>
      <c r="Q4" s="62" t="s">
        <v>413</v>
      </c>
      <c r="R4" s="54"/>
      <c r="S4" s="54"/>
      <c r="T4" s="55"/>
    </row>
    <row r="5" spans="2:38" x14ac:dyDescent="0.25">
      <c r="C5" s="56" t="str">
        <f>RR!J77</f>
        <v>HT - Supérieur à  66 kV</v>
      </c>
      <c r="D5" s="58"/>
      <c r="E5" s="16"/>
      <c r="F5" s="69" t="s">
        <v>401</v>
      </c>
      <c r="G5" s="70"/>
      <c r="H5" s="71"/>
      <c r="J5" s="69" t="s">
        <v>408</v>
      </c>
      <c r="K5" s="71"/>
      <c r="M5" s="56" t="s">
        <v>410</v>
      </c>
      <c r="N5" s="57"/>
      <c r="O5" s="58"/>
      <c r="Q5" s="56" t="s">
        <v>414</v>
      </c>
      <c r="R5" s="57"/>
      <c r="S5" s="57"/>
      <c r="T5" s="58"/>
    </row>
    <row r="6" spans="2:38" x14ac:dyDescent="0.25">
      <c r="C6" s="56" t="str">
        <f>RR!J78</f>
        <v>MT -à partir de 11 kV jusqu'à 66 kV</v>
      </c>
      <c r="D6" s="58"/>
      <c r="E6" s="16"/>
      <c r="F6" s="69" t="s">
        <v>403</v>
      </c>
      <c r="G6" s="70"/>
      <c r="H6" s="71"/>
      <c r="J6" s="69" t="s">
        <v>405</v>
      </c>
      <c r="K6" s="71"/>
      <c r="M6" s="56" t="s">
        <v>411</v>
      </c>
      <c r="N6" s="57"/>
      <c r="O6" s="58"/>
      <c r="Q6" s="56" t="s">
        <v>415</v>
      </c>
      <c r="R6" s="57"/>
      <c r="S6" s="57"/>
      <c r="T6" s="58"/>
    </row>
    <row r="7" spans="2:38" x14ac:dyDescent="0.25">
      <c r="C7" s="59" t="str">
        <f>RR!J79</f>
        <v>MT - 230 V, 400 V, etc.</v>
      </c>
      <c r="D7" s="61"/>
      <c r="E7" s="16"/>
      <c r="F7" s="72" t="s">
        <v>402</v>
      </c>
      <c r="G7" s="73"/>
      <c r="H7" s="74"/>
      <c r="J7" s="72" t="s">
        <v>407</v>
      </c>
      <c r="K7" s="74"/>
      <c r="M7" s="59"/>
      <c r="N7" s="60"/>
      <c r="O7" s="61"/>
      <c r="Q7" s="59"/>
      <c r="R7" s="60"/>
      <c r="S7" s="60"/>
      <c r="T7" s="61"/>
    </row>
    <row r="8" spans="2:38" x14ac:dyDescent="0.25">
      <c r="J8" s="1" t="s">
        <v>406</v>
      </c>
    </row>
    <row r="9" spans="2:38" x14ac:dyDescent="0.25">
      <c r="C9" s="131"/>
      <c r="D9" s="131"/>
      <c r="E9" s="131"/>
      <c r="F9" s="292" t="s">
        <v>404</v>
      </c>
      <c r="G9" s="293"/>
      <c r="H9" s="293"/>
      <c r="I9" s="294"/>
      <c r="K9" s="292" t="s">
        <v>412</v>
      </c>
      <c r="L9" s="293"/>
      <c r="M9" s="293"/>
      <c r="N9" s="293"/>
      <c r="O9" s="293"/>
      <c r="P9" s="293"/>
      <c r="Q9" s="293"/>
      <c r="R9" s="293"/>
      <c r="S9" s="293"/>
      <c r="T9" s="293"/>
      <c r="U9" s="293"/>
      <c r="V9" s="294"/>
      <c r="Z9" s="292" t="s">
        <v>142</v>
      </c>
      <c r="AA9" s="293"/>
      <c r="AB9" s="294"/>
      <c r="AD9" s="292" t="s">
        <v>143</v>
      </c>
      <c r="AE9" s="293"/>
      <c r="AF9" s="293"/>
      <c r="AG9" s="294"/>
    </row>
    <row r="10" spans="2:38" s="91" customFormat="1" ht="42" x14ac:dyDescent="0.35">
      <c r="C10" s="295" t="s">
        <v>144</v>
      </c>
      <c r="D10" s="296"/>
      <c r="E10" s="296"/>
      <c r="F10" s="92" t="s">
        <v>328</v>
      </c>
      <c r="G10" s="92" t="s">
        <v>329</v>
      </c>
      <c r="H10" s="92" t="s">
        <v>88</v>
      </c>
      <c r="I10" s="92" t="s">
        <v>416</v>
      </c>
      <c r="J10" s="92" t="s">
        <v>251</v>
      </c>
      <c r="K10" s="92" t="s">
        <v>417</v>
      </c>
      <c r="L10" s="92" t="s">
        <v>418</v>
      </c>
      <c r="M10" s="92" t="s">
        <v>419</v>
      </c>
      <c r="N10" s="92" t="s">
        <v>341</v>
      </c>
      <c r="O10" s="92" t="s">
        <v>420</v>
      </c>
      <c r="P10" s="92" t="s">
        <v>345</v>
      </c>
      <c r="Q10" s="92" t="s">
        <v>421</v>
      </c>
      <c r="R10" s="92" t="s">
        <v>422</v>
      </c>
      <c r="S10" s="92" t="s">
        <v>423</v>
      </c>
      <c r="T10" s="92" t="s">
        <v>424</v>
      </c>
      <c r="U10" s="92" t="s">
        <v>425</v>
      </c>
      <c r="V10" s="92" t="s">
        <v>426</v>
      </c>
      <c r="W10" s="92" t="s">
        <v>145</v>
      </c>
      <c r="X10" s="92" t="s">
        <v>145</v>
      </c>
      <c r="Y10" s="92"/>
      <c r="Z10" s="92" t="s">
        <v>146</v>
      </c>
      <c r="AA10" s="92" t="s">
        <v>147</v>
      </c>
      <c r="AB10" s="92" t="s">
        <v>399</v>
      </c>
      <c r="AC10" s="92"/>
      <c r="AD10" s="92" t="s">
        <v>148</v>
      </c>
      <c r="AE10" s="92" t="s">
        <v>149</v>
      </c>
      <c r="AF10" s="92" t="s">
        <v>150</v>
      </c>
      <c r="AG10" s="92" t="s">
        <v>52</v>
      </c>
      <c r="AH10" s="93"/>
    </row>
    <row r="11" spans="2:38" s="94" customFormat="1" ht="47.25" customHeight="1" x14ac:dyDescent="0.35">
      <c r="C11" s="290" t="s">
        <v>151</v>
      </c>
      <c r="D11" s="291"/>
      <c r="E11" s="291"/>
      <c r="F11" s="95" t="s">
        <v>427</v>
      </c>
      <c r="G11" s="95" t="s">
        <v>428</v>
      </c>
      <c r="H11" s="95" t="s">
        <v>18</v>
      </c>
      <c r="I11" s="95" t="s">
        <v>429</v>
      </c>
      <c r="J11" s="95" t="s">
        <v>430</v>
      </c>
      <c r="K11" s="95" t="s">
        <v>39</v>
      </c>
      <c r="L11" s="95" t="s">
        <v>40</v>
      </c>
      <c r="M11" s="95" t="s">
        <v>40</v>
      </c>
      <c r="N11" s="95" t="s">
        <v>431</v>
      </c>
      <c r="O11" s="95" t="s">
        <v>39</v>
      </c>
      <c r="P11" s="95" t="s">
        <v>39</v>
      </c>
      <c r="Q11" s="95" t="s">
        <v>40</v>
      </c>
      <c r="R11" s="95" t="s">
        <v>40</v>
      </c>
      <c r="S11" s="95" t="s">
        <v>39</v>
      </c>
      <c r="T11" s="95" t="s">
        <v>39</v>
      </c>
      <c r="U11" s="95" t="s">
        <v>40</v>
      </c>
      <c r="V11" s="95" t="s">
        <v>40</v>
      </c>
      <c r="W11" s="95" t="s">
        <v>39</v>
      </c>
      <c r="X11" s="95" t="s">
        <v>18</v>
      </c>
      <c r="Y11" s="95"/>
      <c r="Z11" s="95" t="s">
        <v>152</v>
      </c>
      <c r="AA11" s="95" t="s">
        <v>153</v>
      </c>
      <c r="AB11" s="95" t="s">
        <v>154</v>
      </c>
      <c r="AC11" s="95"/>
      <c r="AD11" s="95" t="s">
        <v>154</v>
      </c>
      <c r="AE11" s="95" t="s">
        <v>154</v>
      </c>
      <c r="AF11" s="95" t="s">
        <v>155</v>
      </c>
      <c r="AG11" s="95" t="s">
        <v>155</v>
      </c>
      <c r="AH11" s="96"/>
      <c r="AJ11" s="94" t="s">
        <v>3</v>
      </c>
      <c r="AL11" s="94" t="s">
        <v>329</v>
      </c>
    </row>
    <row r="12" spans="2:38" x14ac:dyDescent="0.25">
      <c r="B12" s="1">
        <v>1</v>
      </c>
      <c r="C12" s="76" t="s">
        <v>19</v>
      </c>
      <c r="D12" s="64"/>
      <c r="E12" s="64"/>
      <c r="F12" s="85" t="s">
        <v>326</v>
      </c>
      <c r="G12" s="82" t="s">
        <v>17</v>
      </c>
      <c r="H12" s="83">
        <v>0.33500000000000002</v>
      </c>
      <c r="I12" s="84">
        <v>0.95</v>
      </c>
      <c r="J12" s="124">
        <v>176839.57453764943</v>
      </c>
      <c r="K12" s="99">
        <v>768.02</v>
      </c>
      <c r="L12" s="97">
        <f>IFERROR(K12/(8.76*H12),0)</f>
        <v>261.71198800517959</v>
      </c>
      <c r="M12" s="97">
        <f>IFERROR(L12*I12,"--")</f>
        <v>248.62638860492061</v>
      </c>
      <c r="N12" s="83">
        <v>0.3</v>
      </c>
      <c r="O12" s="97">
        <f>N12*Loss!$F$6</f>
        <v>15.639000000000031</v>
      </c>
      <c r="P12" s="97">
        <f>K12+O12</f>
        <v>783.65899999999999</v>
      </c>
      <c r="Q12" s="97">
        <f>IFERROR(P12/(8.76*H12),"--")</f>
        <v>267.04116404279966</v>
      </c>
      <c r="R12" s="97">
        <f>IFERROR(Q12*I12,0)</f>
        <v>253.68910584065966</v>
      </c>
      <c r="S12" s="97">
        <f>IFERROR(IF(G12="LV",Loss!$F$36*Customer!P12/Loss!$F$37,IF(G12="MV",Loss!$F$30*Customer!P12/Loss!$F$31,Loss!$F$24*Customer!P12/Loss!$F$25)),0)</f>
        <v>72.435585615732492</v>
      </c>
      <c r="T12" s="97">
        <f>P12+S12</f>
        <v>856.09458561573251</v>
      </c>
      <c r="U12" s="97">
        <f>IFERROR(IF(G12="LV",Loss!$Q$36*Customer!R12/Loss!$Q$37,IF(G12="MV",Loss!$Q$30*Customer!R12/Loss!$Q$31,Loss!$Q$24*Customer!R12/Loss!$Q$25)),0)</f>
        <v>27.358810971578631</v>
      </c>
      <c r="V12" s="97">
        <f>R12+U12</f>
        <v>281.04791681223827</v>
      </c>
      <c r="W12" s="97">
        <f>T12-K12</f>
        <v>88.074585615732531</v>
      </c>
      <c r="X12" s="127">
        <f>IFERROR(W12/T12,0)</f>
        <v>0.10287950314787504</v>
      </c>
      <c r="Y12" s="97"/>
      <c r="Z12" s="97">
        <f>IFERROR(L12/J12*1000,0)</f>
        <v>1.4799401586971173</v>
      </c>
      <c r="AA12" s="135">
        <v>10657.823333333334</v>
      </c>
      <c r="AB12" s="132">
        <f>J12*AA12/10^6</f>
        <v>1884.7249437640994</v>
      </c>
      <c r="AC12" s="97"/>
      <c r="AD12" s="99">
        <v>211.47521511481253</v>
      </c>
      <c r="AE12" s="99">
        <v>7.9418337599999198</v>
      </c>
      <c r="AF12" s="99">
        <v>0</v>
      </c>
      <c r="AG12" s="97">
        <f>AD12+AE12+AF12</f>
        <v>219.41704887481245</v>
      </c>
      <c r="AH12" s="75"/>
      <c r="AJ12" s="1" t="s">
        <v>326</v>
      </c>
      <c r="AL12" s="1" t="s">
        <v>287</v>
      </c>
    </row>
    <row r="13" spans="2:38" x14ac:dyDescent="0.25">
      <c r="B13" s="1">
        <v>2</v>
      </c>
      <c r="C13" s="77" t="s">
        <v>20</v>
      </c>
      <c r="F13" s="85" t="s">
        <v>326</v>
      </c>
      <c r="G13" s="85" t="s">
        <v>17</v>
      </c>
      <c r="H13" s="86">
        <v>0.4</v>
      </c>
      <c r="I13" s="87">
        <v>0.1</v>
      </c>
      <c r="J13" s="125">
        <v>1712.7674844635237</v>
      </c>
      <c r="K13" s="100">
        <v>44.7408</v>
      </c>
      <c r="L13" s="7">
        <f t="shared" ref="L13:L42" si="0">IFERROR(K13/(8.76*H13),0)</f>
        <v>12.768493150684932</v>
      </c>
      <c r="M13" s="7">
        <f t="shared" ref="M13:M40" si="1">IFERROR(L13*I13,"--")</f>
        <v>1.2768493150684934</v>
      </c>
      <c r="N13" s="86">
        <v>7.0000000000000007E-2</v>
      </c>
      <c r="O13" s="7">
        <f>N13*Loss!$F$6</f>
        <v>3.6491000000000078</v>
      </c>
      <c r="P13" s="7">
        <f t="shared" ref="P13:P40" si="2">K13+O13</f>
        <v>48.389900000000011</v>
      </c>
      <c r="Q13" s="7">
        <f t="shared" ref="Q13:Q40" si="3">IFERROR(P13/(8.76*H13),"--")</f>
        <v>13.809902968036534</v>
      </c>
      <c r="R13" s="7">
        <f t="shared" ref="R13:R41" si="4">IFERROR(Q13*I13,0)</f>
        <v>1.3809902968036534</v>
      </c>
      <c r="S13" s="7">
        <f>IFERROR(IF(G13="LV",Loss!$F$36*Customer!P13/Loss!$F$37,IF(G13="MV",Loss!$F$30*Customer!P13/Loss!$F$31,Loss!$F$24*Customer!P13/Loss!$F$25)),0)</f>
        <v>4.4728009815324459</v>
      </c>
      <c r="T13" s="7">
        <f t="shared" ref="T13:T42" si="5">P13+S13</f>
        <v>52.862700981532456</v>
      </c>
      <c r="U13" s="7">
        <f>IFERROR(IF(G13="LV",Loss!$Q$36*Customer!R13/Loss!$Q$37,IF(G13="MV",Loss!$Q$30*Customer!R13/Loss!$Q$31,Loss!$Q$24*Customer!R13/Loss!$Q$25)),0)</f>
        <v>0.14893131637889956</v>
      </c>
      <c r="V13" s="7">
        <f t="shared" ref="V13:V42" si="6">R13+U13</f>
        <v>1.529921613182553</v>
      </c>
      <c r="W13" s="7">
        <f t="shared" ref="W13:W41" si="7">T13-K13</f>
        <v>8.1219009815324554</v>
      </c>
      <c r="X13" s="128">
        <f t="shared" ref="X13:X41" si="8">IFERROR(W13/T13,0)</f>
        <v>0.15364143017152748</v>
      </c>
      <c r="Y13" s="7"/>
      <c r="Z13" s="7">
        <f t="shared" ref="Z13:Z42" si="9">IFERROR(L13/J13*1000,0)</f>
        <v>7.4548899757308877</v>
      </c>
      <c r="AA13" s="136">
        <v>313572.23021999985</v>
      </c>
      <c r="AB13" s="133">
        <f t="shared" ref="AB13:AB42" si="10">J13*AA13/10^6</f>
        <v>537.0763199515261</v>
      </c>
      <c r="AC13" s="7"/>
      <c r="AD13" s="100">
        <v>23.064351472799984</v>
      </c>
      <c r="AE13" s="100">
        <v>0.56297043600001595</v>
      </c>
      <c r="AF13" s="100">
        <v>0</v>
      </c>
      <c r="AG13" s="7">
        <f t="shared" ref="AG13:AG42" si="11">AD13+AE13+AF13</f>
        <v>23.627321908799999</v>
      </c>
      <c r="AH13" s="79"/>
      <c r="AJ13" s="1" t="s">
        <v>57</v>
      </c>
      <c r="AL13" s="1" t="s">
        <v>317</v>
      </c>
    </row>
    <row r="14" spans="2:38" x14ac:dyDescent="0.25">
      <c r="B14" s="1">
        <v>3</v>
      </c>
      <c r="C14" s="77" t="s">
        <v>21</v>
      </c>
      <c r="F14" s="85" t="s">
        <v>326</v>
      </c>
      <c r="G14" s="85" t="s">
        <v>17</v>
      </c>
      <c r="H14" s="86">
        <v>0.4</v>
      </c>
      <c r="I14" s="87">
        <v>0.1</v>
      </c>
      <c r="J14" s="125">
        <v>655.52318865899611</v>
      </c>
      <c r="K14" s="100">
        <v>1.7280000000000002</v>
      </c>
      <c r="L14" s="7">
        <f t="shared" si="0"/>
        <v>0.49315068493150693</v>
      </c>
      <c r="M14" s="7">
        <f t="shared" si="1"/>
        <v>4.9315068493150697E-2</v>
      </c>
      <c r="N14" s="86">
        <v>7.0000000000000007E-2</v>
      </c>
      <c r="O14" s="7">
        <f>N14*Loss!$F$6</f>
        <v>3.6491000000000078</v>
      </c>
      <c r="P14" s="7">
        <f t="shared" si="2"/>
        <v>5.3771000000000075</v>
      </c>
      <c r="Q14" s="7">
        <f t="shared" si="3"/>
        <v>1.5345605022831073</v>
      </c>
      <c r="R14" s="7">
        <f t="shared" si="4"/>
        <v>0.15345605022831074</v>
      </c>
      <c r="S14" s="7">
        <f>IFERROR(IF(G14="LV",Loss!$F$36*Customer!P14/Loss!$F$37,IF(G14="MV",Loss!$F$30*Customer!P14/Loss!$F$31,Loss!$F$24*Customer!P14/Loss!$F$25)),0)</f>
        <v>0.49701896796228434</v>
      </c>
      <c r="T14" s="7">
        <f t="shared" si="5"/>
        <v>5.8741189679622918</v>
      </c>
      <c r="U14" s="7">
        <f>IFERROR(IF(G14="LV",Loss!$Q$36*Customer!R14/Loss!$Q$37,IF(G14="MV",Loss!$Q$30*Customer!R14/Loss!$Q$31,Loss!$Q$24*Customer!R14/Loss!$Q$25)),0)</f>
        <v>1.6549291924574792E-2</v>
      </c>
      <c r="V14" s="7">
        <f t="shared" si="6"/>
        <v>0.17000534215288554</v>
      </c>
      <c r="W14" s="7">
        <f t="shared" si="7"/>
        <v>4.1461189679622912</v>
      </c>
      <c r="X14" s="128">
        <f t="shared" si="8"/>
        <v>0.70582822557313019</v>
      </c>
      <c r="Y14" s="7"/>
      <c r="Z14" s="7">
        <f t="shared" si="9"/>
        <v>0.75230090020208951</v>
      </c>
      <c r="AA14" s="136">
        <v>313572.23021999985</v>
      </c>
      <c r="AB14" s="133">
        <f t="shared" si="10"/>
        <v>205.55386822872714</v>
      </c>
      <c r="AC14" s="7"/>
      <c r="AD14" s="100">
        <v>0.69431661439999992</v>
      </c>
      <c r="AE14" s="100">
        <v>2.3056608000000121E-2</v>
      </c>
      <c r="AF14" s="100">
        <v>0</v>
      </c>
      <c r="AG14" s="7">
        <f t="shared" si="11"/>
        <v>0.71737322240000001</v>
      </c>
      <c r="AH14" s="79"/>
      <c r="AL14" s="1" t="s">
        <v>285</v>
      </c>
    </row>
    <row r="15" spans="2:38" x14ac:dyDescent="0.25">
      <c r="B15" s="1">
        <v>4</v>
      </c>
      <c r="C15" s="77" t="s">
        <v>22</v>
      </c>
      <c r="F15" s="85" t="s">
        <v>326</v>
      </c>
      <c r="G15" s="85" t="s">
        <v>17</v>
      </c>
      <c r="H15" s="86">
        <v>0.45</v>
      </c>
      <c r="I15" s="87">
        <v>0.2</v>
      </c>
      <c r="J15" s="125">
        <v>13351.377467741533</v>
      </c>
      <c r="K15" s="100">
        <v>171.17179943713748</v>
      </c>
      <c r="L15" s="7">
        <f t="shared" si="0"/>
        <v>43.422577229106409</v>
      </c>
      <c r="M15" s="7">
        <f t="shared" si="1"/>
        <v>8.6845154458212814</v>
      </c>
      <c r="N15" s="86">
        <v>0.26</v>
      </c>
      <c r="O15" s="7">
        <f>N15*Loss!$F$6</f>
        <v>13.553800000000029</v>
      </c>
      <c r="P15" s="7">
        <f t="shared" si="2"/>
        <v>184.7255994371375</v>
      </c>
      <c r="Q15" s="7">
        <f t="shared" si="3"/>
        <v>46.860882657822806</v>
      </c>
      <c r="R15" s="7">
        <f t="shared" si="4"/>
        <v>9.3721765315645609</v>
      </c>
      <c r="S15" s="7">
        <f>IFERROR(IF(G15="LV",Loss!$F$36*Customer!P15/Loss!$F$37,IF(G15="MV",Loss!$F$30*Customer!P15/Loss!$F$31,Loss!$F$24*Customer!P15/Loss!$F$25)),0)</f>
        <v>17.074654886176614</v>
      </c>
      <c r="T15" s="7">
        <f t="shared" si="5"/>
        <v>201.80025432331411</v>
      </c>
      <c r="U15" s="7">
        <f>IFERROR(IF(G15="LV",Loss!$Q$36*Customer!R15/Loss!$Q$37,IF(G15="MV",Loss!$Q$30*Customer!R15/Loss!$Q$31,Loss!$Q$24*Customer!R15/Loss!$Q$25)),0)</f>
        <v>1.0107316404843594</v>
      </c>
      <c r="V15" s="7">
        <f t="shared" si="6"/>
        <v>10.38290817204892</v>
      </c>
      <c r="W15" s="7">
        <f t="shared" si="7"/>
        <v>30.628454886176627</v>
      </c>
      <c r="X15" s="128">
        <f t="shared" si="8"/>
        <v>0.15177609656083621</v>
      </c>
      <c r="Y15" s="7"/>
      <c r="Z15" s="7">
        <f t="shared" si="9"/>
        <v>3.2522919327253206</v>
      </c>
      <c r="AA15" s="136">
        <v>10657.823333333334</v>
      </c>
      <c r="AB15" s="133">
        <f t="shared" si="10"/>
        <v>142.29662230783663</v>
      </c>
      <c r="AC15" s="7"/>
      <c r="AD15" s="100">
        <v>89.468985711391781</v>
      </c>
      <c r="AE15" s="100">
        <v>2.94592618000009</v>
      </c>
      <c r="AF15" s="100">
        <v>0</v>
      </c>
      <c r="AG15" s="7">
        <f t="shared" si="11"/>
        <v>92.414911891391867</v>
      </c>
      <c r="AH15" s="79"/>
    </row>
    <row r="16" spans="2:38" x14ac:dyDescent="0.25">
      <c r="B16" s="1">
        <v>5</v>
      </c>
      <c r="C16" s="77" t="s">
        <v>23</v>
      </c>
      <c r="F16" s="85" t="s">
        <v>326</v>
      </c>
      <c r="G16" s="85" t="s">
        <v>17</v>
      </c>
      <c r="H16" s="86">
        <v>0.45</v>
      </c>
      <c r="I16" s="87">
        <v>0.2</v>
      </c>
      <c r="J16" s="125">
        <v>1821.2282177352934</v>
      </c>
      <c r="K16" s="100">
        <v>326.84869048302801</v>
      </c>
      <c r="L16" s="7">
        <f t="shared" si="0"/>
        <v>82.914431883061383</v>
      </c>
      <c r="M16" s="7">
        <f t="shared" si="1"/>
        <v>16.582886376612276</v>
      </c>
      <c r="N16" s="86">
        <v>0.2</v>
      </c>
      <c r="O16" s="7">
        <f>N16*Loss!$F$6</f>
        <v>10.426000000000023</v>
      </c>
      <c r="P16" s="7">
        <f t="shared" si="2"/>
        <v>337.27469048302805</v>
      </c>
      <c r="Q16" s="7">
        <f t="shared" si="3"/>
        <v>85.559282212843243</v>
      </c>
      <c r="R16" s="7">
        <f t="shared" si="4"/>
        <v>17.111856442568648</v>
      </c>
      <c r="S16" s="7">
        <f>IFERROR(IF(G16="LV",Loss!$F$36*Customer!P16/Loss!$F$37,IF(G16="MV",Loss!$F$30*Customer!P16/Loss!$F$31,Loss!$F$24*Customer!P16/Loss!$F$25)),0)</f>
        <v>31.17515362996285</v>
      </c>
      <c r="T16" s="7">
        <f t="shared" si="5"/>
        <v>368.44984411299089</v>
      </c>
      <c r="U16" s="7">
        <f>IFERROR(IF(G16="LV",Loss!$Q$36*Customer!R16/Loss!$Q$37,IF(G16="MV",Loss!$Q$30*Customer!R16/Loss!$Q$31,Loss!$Q$24*Customer!R16/Loss!$Q$25)),0)</f>
        <v>1.845408553251292</v>
      </c>
      <c r="V16" s="7">
        <f t="shared" si="6"/>
        <v>18.957264995819941</v>
      </c>
      <c r="W16" s="7">
        <f t="shared" si="7"/>
        <v>41.60115362996288</v>
      </c>
      <c r="X16" s="128">
        <f t="shared" si="8"/>
        <v>0.11290859338023017</v>
      </c>
      <c r="Y16" s="7"/>
      <c r="Z16" s="7">
        <f t="shared" si="9"/>
        <v>45.52665672299208</v>
      </c>
      <c r="AA16" s="136">
        <v>367027.71378823533</v>
      </c>
      <c r="AB16" s="133">
        <f t="shared" si="10"/>
        <v>668.44122904200719</v>
      </c>
      <c r="AC16" s="7"/>
      <c r="AD16" s="100">
        <v>108.20891992783322</v>
      </c>
      <c r="AE16" s="100">
        <v>0.53920870999999704</v>
      </c>
      <c r="AF16" s="100">
        <v>57.73704274</v>
      </c>
      <c r="AG16" s="7">
        <f t="shared" si="11"/>
        <v>166.48517137783321</v>
      </c>
      <c r="AH16" s="79"/>
    </row>
    <row r="17" spans="2:34" x14ac:dyDescent="0.25">
      <c r="B17" s="1">
        <v>6</v>
      </c>
      <c r="C17" s="77" t="s">
        <v>24</v>
      </c>
      <c r="F17" s="85" t="s">
        <v>326</v>
      </c>
      <c r="G17" s="85" t="s">
        <v>16</v>
      </c>
      <c r="H17" s="86">
        <v>0.5</v>
      </c>
      <c r="I17" s="87">
        <v>0.2</v>
      </c>
      <c r="J17" s="125">
        <v>2569.1512266952855</v>
      </c>
      <c r="K17" s="100">
        <v>234.88919999999999</v>
      </c>
      <c r="L17" s="7">
        <f t="shared" si="0"/>
        <v>53.627671232876708</v>
      </c>
      <c r="M17" s="7">
        <f t="shared" si="1"/>
        <v>10.725534246575343</v>
      </c>
      <c r="N17" s="86">
        <v>0.04</v>
      </c>
      <c r="O17" s="7">
        <f>N17*Loss!$F$6</f>
        <v>2.0852000000000044</v>
      </c>
      <c r="P17" s="7">
        <f t="shared" si="2"/>
        <v>236.9744</v>
      </c>
      <c r="Q17" s="7">
        <f t="shared" si="3"/>
        <v>54.103744292237444</v>
      </c>
      <c r="R17" s="7">
        <f t="shared" si="4"/>
        <v>10.820748858447489</v>
      </c>
      <c r="S17" s="7">
        <f>IFERROR(IF(G17="LV",Loss!$F$36*Customer!P17/Loss!$F$37,IF(G17="MV",Loss!$F$30*Customer!P17/Loss!$F$31,Loss!$F$24*Customer!P17/Loss!$F$25)),0)</f>
        <v>37.770045492028977</v>
      </c>
      <c r="T17" s="7">
        <f t="shared" si="5"/>
        <v>274.744445492029</v>
      </c>
      <c r="U17" s="7">
        <f>IFERROR(IF(G17="LV",Loss!$Q$36*Customer!R17/Loss!$Q$37,IF(G17="MV",Loss!$Q$30*Customer!R17/Loss!$Q$31,Loss!$Q$24*Customer!R17/Loss!$Q$25)),0)</f>
        <v>6.8051088844181384</v>
      </c>
      <c r="V17" s="7">
        <f t="shared" si="6"/>
        <v>17.625857742865627</v>
      </c>
      <c r="W17" s="7">
        <f t="shared" si="7"/>
        <v>39.855245492029013</v>
      </c>
      <c r="X17" s="128">
        <f t="shared" si="8"/>
        <v>0.14506297086608547</v>
      </c>
      <c r="Y17" s="7"/>
      <c r="Z17" s="7">
        <f t="shared" si="9"/>
        <v>20.873691932046484</v>
      </c>
      <c r="AA17" s="136">
        <v>7714197.1670588236</v>
      </c>
      <c r="AB17" s="133">
        <f t="shared" si="10"/>
        <v>19818.939114718472</v>
      </c>
      <c r="AC17" s="7"/>
      <c r="AD17" s="100">
        <v>123.19898436719997</v>
      </c>
      <c r="AE17" s="100">
        <v>0.84445565400002398</v>
      </c>
      <c r="AF17" s="100">
        <v>0</v>
      </c>
      <c r="AG17" s="7">
        <f t="shared" si="11"/>
        <v>124.0434400212</v>
      </c>
      <c r="AH17" s="79"/>
    </row>
    <row r="18" spans="2:34" x14ac:dyDescent="0.25">
      <c r="B18" s="1">
        <v>7</v>
      </c>
      <c r="C18" s="77" t="s">
        <v>25</v>
      </c>
      <c r="F18" s="85" t="s">
        <v>326</v>
      </c>
      <c r="G18" s="85" t="s">
        <v>16</v>
      </c>
      <c r="H18" s="86">
        <v>0.5</v>
      </c>
      <c r="I18" s="87">
        <v>0.2</v>
      </c>
      <c r="J18" s="125">
        <v>1529.5541068709911</v>
      </c>
      <c r="K18" s="100">
        <v>9.072000000000001</v>
      </c>
      <c r="L18" s="7">
        <f t="shared" si="0"/>
        <v>2.0712328767123291</v>
      </c>
      <c r="M18" s="7">
        <f t="shared" si="1"/>
        <v>0.41424657534246584</v>
      </c>
      <c r="N18" s="86">
        <v>0.04</v>
      </c>
      <c r="O18" s="7">
        <f>N18*Loss!$F$6</f>
        <v>2.0852000000000044</v>
      </c>
      <c r="P18" s="7">
        <f t="shared" si="2"/>
        <v>11.157200000000005</v>
      </c>
      <c r="Q18" s="7">
        <f t="shared" si="3"/>
        <v>2.5473059360730606</v>
      </c>
      <c r="R18" s="7">
        <f t="shared" si="4"/>
        <v>0.50946118721461209</v>
      </c>
      <c r="S18" s="7">
        <f>IFERROR(IF(G18="LV",Loss!$F$36*Customer!P18/Loss!$F$37,IF(G18="MV",Loss!$F$30*Customer!P18/Loss!$F$31,Loss!$F$24*Customer!P18/Loss!$F$25)),0)</f>
        <v>1.7782847073931443</v>
      </c>
      <c r="T18" s="7">
        <f t="shared" si="5"/>
        <v>12.935484707393149</v>
      </c>
      <c r="U18" s="7">
        <f>IFERROR(IF(G18="LV",Loss!$Q$36*Customer!R18/Loss!$Q$37,IF(G18="MV",Loss!$Q$30*Customer!R18/Loss!$Q$31,Loss!$Q$24*Customer!R18/Loss!$Q$25)),0)</f>
        <v>0.32039731230559115</v>
      </c>
      <c r="V18" s="7">
        <f t="shared" si="6"/>
        <v>0.82985849952020319</v>
      </c>
      <c r="W18" s="7">
        <f t="shared" si="7"/>
        <v>3.8634847073931482</v>
      </c>
      <c r="X18" s="128">
        <f t="shared" si="8"/>
        <v>0.29867336205693257</v>
      </c>
      <c r="Y18" s="7"/>
      <c r="Z18" s="7">
        <f t="shared" si="9"/>
        <v>1.3541416203637611</v>
      </c>
      <c r="AA18" s="136">
        <v>7714197.1670588236</v>
      </c>
      <c r="AB18" s="133">
        <f t="shared" si="10"/>
        <v>11799.281958087389</v>
      </c>
      <c r="AC18" s="7"/>
      <c r="AD18" s="100">
        <v>3.7124106655999998</v>
      </c>
      <c r="AE18" s="100">
        <v>5.3798752000000276E-2</v>
      </c>
      <c r="AF18" s="100">
        <v>0</v>
      </c>
      <c r="AG18" s="7">
        <f t="shared" si="11"/>
        <v>3.7662094175999998</v>
      </c>
      <c r="AH18" s="79"/>
    </row>
    <row r="19" spans="2:34" x14ac:dyDescent="0.25">
      <c r="B19" s="1">
        <v>8</v>
      </c>
      <c r="C19" s="77" t="s">
        <v>26</v>
      </c>
      <c r="F19" s="85" t="s">
        <v>326</v>
      </c>
      <c r="G19" s="85" t="s">
        <v>16</v>
      </c>
      <c r="H19" s="86">
        <v>0.55000000000000004</v>
      </c>
      <c r="I19" s="87">
        <v>0.2</v>
      </c>
      <c r="J19" s="125">
        <v>128.88386951855642</v>
      </c>
      <c r="K19" s="100">
        <v>236.57951007983462</v>
      </c>
      <c r="L19" s="7">
        <f t="shared" si="0"/>
        <v>49.103260705652673</v>
      </c>
      <c r="M19" s="7">
        <f t="shared" si="1"/>
        <v>9.8206521411305356</v>
      </c>
      <c r="N19" s="86">
        <v>0.02</v>
      </c>
      <c r="O19" s="7">
        <f>N19*Loss!$F$6</f>
        <v>1.0426000000000022</v>
      </c>
      <c r="P19" s="7">
        <f t="shared" si="2"/>
        <v>237.62211007983461</v>
      </c>
      <c r="Q19" s="7">
        <f t="shared" si="3"/>
        <v>49.319657550816643</v>
      </c>
      <c r="R19" s="7">
        <f t="shared" si="4"/>
        <v>9.8639315101633294</v>
      </c>
      <c r="S19" s="7">
        <f>IFERROR(IF(G19="LV",Loss!$F$36*Customer!P19/Loss!$F$37,IF(G19="MV",Loss!$F$30*Customer!P19/Loss!$F$31,Loss!$F$24*Customer!P19/Loss!$F$25)),0)</f>
        <v>37.873280437158073</v>
      </c>
      <c r="T19" s="7">
        <f t="shared" si="5"/>
        <v>275.4953905169927</v>
      </c>
      <c r="U19" s="7">
        <f>IFERROR(IF(G19="LV",Loss!$Q$36*Customer!R19/Loss!$Q$37,IF(G19="MV",Loss!$Q$30*Customer!R19/Loss!$Q$31,Loss!$Q$24*Customer!R19/Loss!$Q$25)),0)</f>
        <v>6.2033717659662324</v>
      </c>
      <c r="V19" s="7">
        <f t="shared" si="6"/>
        <v>16.067303276129561</v>
      </c>
      <c r="W19" s="7">
        <f t="shared" si="7"/>
        <v>38.91588043715808</v>
      </c>
      <c r="X19" s="128">
        <f t="shared" si="8"/>
        <v>0.14125782781384769</v>
      </c>
      <c r="Y19" s="7"/>
      <c r="Z19" s="7">
        <f t="shared" si="9"/>
        <v>380.98841142089464</v>
      </c>
      <c r="AA19" s="136">
        <v>7714197.1670588236</v>
      </c>
      <c r="AB19" s="133">
        <f t="shared" si="10"/>
        <v>994.235581119627</v>
      </c>
      <c r="AC19" s="7"/>
      <c r="AD19" s="100">
        <v>68.413741435962521</v>
      </c>
      <c r="AE19" s="100">
        <v>3.7410230000000003E-2</v>
      </c>
      <c r="AF19" s="100">
        <v>34.815405429999998</v>
      </c>
      <c r="AG19" s="7">
        <f t="shared" si="11"/>
        <v>103.26655709596253</v>
      </c>
      <c r="AH19" s="79"/>
    </row>
    <row r="20" spans="2:34" x14ac:dyDescent="0.25">
      <c r="B20" s="1">
        <v>9</v>
      </c>
      <c r="C20" s="77" t="s">
        <v>27</v>
      </c>
      <c r="F20" s="85" t="s">
        <v>326</v>
      </c>
      <c r="G20" s="85" t="s">
        <v>15</v>
      </c>
      <c r="H20" s="86">
        <v>0.82</v>
      </c>
      <c r="I20" s="87">
        <v>0.85</v>
      </c>
      <c r="J20" s="125">
        <v>1</v>
      </c>
      <c r="K20" s="100">
        <v>183.89362770408619</v>
      </c>
      <c r="L20" s="7">
        <f t="shared" si="0"/>
        <v>25.600516163281853</v>
      </c>
      <c r="M20" s="7">
        <f t="shared" si="1"/>
        <v>21.760438738789574</v>
      </c>
      <c r="N20" s="86">
        <v>0</v>
      </c>
      <c r="O20" s="7">
        <f>N20*Loss!$F$6</f>
        <v>0</v>
      </c>
      <c r="P20" s="7">
        <f t="shared" si="2"/>
        <v>183.89362770408619</v>
      </c>
      <c r="Q20" s="7">
        <f t="shared" si="3"/>
        <v>25.600516163281853</v>
      </c>
      <c r="R20" s="7">
        <f t="shared" si="4"/>
        <v>21.760438738789574</v>
      </c>
      <c r="S20" s="7">
        <f>IFERROR(IF(G20="LV",Loss!$F$36*Customer!P20/Loss!$F$37,IF(G20="MV",Loss!$F$30*Customer!P20/Loss!$F$31,Loss!$F$24*Customer!P20/Loss!$F$25)),0)</f>
        <v>20.435551608824071</v>
      </c>
      <c r="T20" s="7">
        <f t="shared" si="5"/>
        <v>204.32917931291024</v>
      </c>
      <c r="U20" s="7">
        <f>IFERROR(IF(G20="LV",Loss!$Q$36*Customer!R20/Loss!$Q$37,IF(G20="MV",Loss!$Q$30*Customer!R20/Loss!$Q$31,Loss!$Q$24*Customer!R20/Loss!$Q$25)),0)</f>
        <v>3.5890393846262696</v>
      </c>
      <c r="V20" s="7">
        <f t="shared" si="6"/>
        <v>25.349478123415842</v>
      </c>
      <c r="W20" s="7">
        <f t="shared" si="7"/>
        <v>20.435551608824056</v>
      </c>
      <c r="X20" s="128">
        <f t="shared" si="8"/>
        <v>0.10001288938536282</v>
      </c>
      <c r="Y20" s="7"/>
      <c r="Z20" s="7">
        <f t="shared" si="9"/>
        <v>25600.516163281853</v>
      </c>
      <c r="AA20" s="136">
        <v>0</v>
      </c>
      <c r="AB20" s="133">
        <f t="shared" si="10"/>
        <v>0</v>
      </c>
      <c r="AC20" s="7"/>
      <c r="AD20" s="100">
        <v>35.140134370000006</v>
      </c>
      <c r="AE20" s="100">
        <v>3.2266E-4</v>
      </c>
      <c r="AF20" s="100">
        <v>18.255563679999998</v>
      </c>
      <c r="AG20" s="7">
        <f t="shared" si="11"/>
        <v>53.396020710000002</v>
      </c>
      <c r="AH20" s="79"/>
    </row>
    <row r="21" spans="2:34" x14ac:dyDescent="0.25">
      <c r="B21" s="1">
        <v>10</v>
      </c>
      <c r="C21" s="77" t="s">
        <v>28</v>
      </c>
      <c r="F21" s="85" t="s">
        <v>57</v>
      </c>
      <c r="G21" s="85" t="s">
        <v>15</v>
      </c>
      <c r="H21" s="86">
        <v>0.82</v>
      </c>
      <c r="I21" s="87">
        <v>0.85</v>
      </c>
      <c r="J21" s="125">
        <v>1</v>
      </c>
      <c r="K21" s="100">
        <v>10.989021632689397</v>
      </c>
      <c r="L21" s="7">
        <f t="shared" si="0"/>
        <v>1.5298225905848923</v>
      </c>
      <c r="M21" s="7">
        <f t="shared" si="1"/>
        <v>1.3003492019971585</v>
      </c>
      <c r="N21" s="86">
        <v>0</v>
      </c>
      <c r="O21" s="7">
        <f>N21*Loss!$F$6</f>
        <v>0</v>
      </c>
      <c r="P21" s="7">
        <f t="shared" si="2"/>
        <v>10.989021632689397</v>
      </c>
      <c r="Q21" s="7">
        <f t="shared" si="3"/>
        <v>1.5298225905848923</v>
      </c>
      <c r="R21" s="7">
        <f t="shared" si="4"/>
        <v>1.3003492019971585</v>
      </c>
      <c r="S21" s="7">
        <f>IFERROR(IF(G21="LV",Loss!$F$36*Customer!P21/Loss!$F$37,IF(G21="MV",Loss!$F$30*Customer!P21/Loss!$F$31,Loss!$F$24*Customer!P21/Loss!$F$25)),0)</f>
        <v>1.2211772724755399</v>
      </c>
      <c r="T21" s="7">
        <f t="shared" si="5"/>
        <v>12.210198905164937</v>
      </c>
      <c r="U21" s="7">
        <f>IFERROR(IF(G21="LV",Loss!$Q$36*Customer!R21/Loss!$Q$37,IF(G21="MV",Loss!$Q$30*Customer!R21/Loss!$Q$31,Loss!$Q$24*Customer!R21/Loss!$Q$25)),0)</f>
        <v>0.21447198541157472</v>
      </c>
      <c r="V21" s="7">
        <f t="shared" si="6"/>
        <v>1.5148211874087332</v>
      </c>
      <c r="W21" s="7">
        <f t="shared" si="7"/>
        <v>1.2211772724755399</v>
      </c>
      <c r="X21" s="128">
        <f t="shared" si="8"/>
        <v>0.10001288938536289</v>
      </c>
      <c r="Y21" s="7"/>
      <c r="Z21" s="7">
        <f t="shared" si="9"/>
        <v>1529.8225905848924</v>
      </c>
      <c r="AA21" s="136">
        <v>0</v>
      </c>
      <c r="AB21" s="133">
        <f t="shared" si="10"/>
        <v>0</v>
      </c>
      <c r="AC21" s="7"/>
      <c r="AD21" s="100">
        <v>2.1130684099999999</v>
      </c>
      <c r="AE21" s="100">
        <v>3.2266E-4</v>
      </c>
      <c r="AF21" s="100">
        <v>0.39679759999999997</v>
      </c>
      <c r="AG21" s="7">
        <f t="shared" si="11"/>
        <v>2.5101886699999998</v>
      </c>
      <c r="AH21" s="79"/>
    </row>
    <row r="22" spans="2:34" x14ac:dyDescent="0.25">
      <c r="B22" s="1">
        <v>11</v>
      </c>
      <c r="C22" s="77" t="s">
        <v>29</v>
      </c>
      <c r="F22" s="85" t="s">
        <v>326</v>
      </c>
      <c r="G22" s="85" t="s">
        <v>15</v>
      </c>
      <c r="H22" s="86">
        <v>0.82</v>
      </c>
      <c r="I22" s="87">
        <v>0.85</v>
      </c>
      <c r="J22" s="125">
        <v>1</v>
      </c>
      <c r="K22" s="100">
        <v>447.04019941244547</v>
      </c>
      <c r="L22" s="7">
        <f t="shared" si="0"/>
        <v>62.234129554021258</v>
      </c>
      <c r="M22" s="7">
        <f t="shared" si="1"/>
        <v>52.899010120918071</v>
      </c>
      <c r="N22" s="86">
        <v>0</v>
      </c>
      <c r="O22" s="7">
        <f>N22*Loss!$F$6</f>
        <v>0</v>
      </c>
      <c r="P22" s="7">
        <f t="shared" si="2"/>
        <v>447.04019941244547</v>
      </c>
      <c r="Q22" s="7">
        <f t="shared" si="3"/>
        <v>62.234129554021258</v>
      </c>
      <c r="R22" s="7">
        <f t="shared" si="4"/>
        <v>52.899010120918071</v>
      </c>
      <c r="S22" s="7">
        <f>IFERROR(IF(G22="LV",Loss!$F$36*Customer!P22/Loss!$F$37,IF(G22="MV",Loss!$F$30*Customer!P22/Loss!$F$31,Loss!$F$24*Customer!P22/Loss!$F$25)),0)</f>
        <v>49.67824704079748</v>
      </c>
      <c r="T22" s="7">
        <f t="shared" si="5"/>
        <v>496.71844645324296</v>
      </c>
      <c r="U22" s="7">
        <f>IFERROR(IF(G22="LV",Loss!$Q$36*Customer!R22/Loss!$Q$37,IF(G22="MV",Loss!$Q$30*Customer!R22/Loss!$Q$31,Loss!$Q$24*Customer!R22/Loss!$Q$25)),0)</f>
        <v>8.7248530698641318</v>
      </c>
      <c r="V22" s="7">
        <f t="shared" si="6"/>
        <v>61.623863190782203</v>
      </c>
      <c r="W22" s="7">
        <f t="shared" si="7"/>
        <v>49.678247040797487</v>
      </c>
      <c r="X22" s="128">
        <f t="shared" si="8"/>
        <v>0.10001288938536289</v>
      </c>
      <c r="Y22" s="7"/>
      <c r="Z22" s="7">
        <f t="shared" si="9"/>
        <v>62234.12955402126</v>
      </c>
      <c r="AA22" s="136">
        <v>0</v>
      </c>
      <c r="AB22" s="133">
        <f t="shared" si="10"/>
        <v>0</v>
      </c>
      <c r="AC22" s="7"/>
      <c r="AD22" s="100">
        <v>85.962127699999996</v>
      </c>
      <c r="AE22" s="100">
        <v>3.2266E-4</v>
      </c>
      <c r="AF22" s="100">
        <v>34.794530000000002</v>
      </c>
      <c r="AG22" s="7">
        <f t="shared" si="11"/>
        <v>120.75698036</v>
      </c>
      <c r="AH22" s="79"/>
    </row>
    <row r="23" spans="2:34" x14ac:dyDescent="0.25">
      <c r="B23" s="1">
        <v>12</v>
      </c>
      <c r="C23" s="77" t="s">
        <v>30</v>
      </c>
      <c r="F23" s="85" t="s">
        <v>57</v>
      </c>
      <c r="G23" s="85" t="s">
        <v>15</v>
      </c>
      <c r="H23" s="86">
        <v>0.82</v>
      </c>
      <c r="I23" s="87">
        <v>0.85</v>
      </c>
      <c r="J23" s="125">
        <v>1</v>
      </c>
      <c r="K23" s="100">
        <v>18.248375322709872</v>
      </c>
      <c r="L23" s="7">
        <f t="shared" si="0"/>
        <v>2.540424229133238</v>
      </c>
      <c r="M23" s="7">
        <f t="shared" si="1"/>
        <v>2.1593605947632524</v>
      </c>
      <c r="N23" s="86">
        <v>0</v>
      </c>
      <c r="O23" s="7">
        <f>N23*Loss!$F$6</f>
        <v>0</v>
      </c>
      <c r="P23" s="7">
        <f t="shared" si="2"/>
        <v>18.248375322709872</v>
      </c>
      <c r="Q23" s="7">
        <f t="shared" si="3"/>
        <v>2.540424229133238</v>
      </c>
      <c r="R23" s="7">
        <f t="shared" si="4"/>
        <v>2.1593605947632524</v>
      </c>
      <c r="S23" s="7">
        <f>IFERROR(IF(G23="LV",Loss!$F$36*Customer!P23/Loss!$F$37,IF(G23="MV",Loss!$F$30*Customer!P23/Loss!$F$31,Loss!$F$24*Customer!P23/Loss!$F$25)),0)</f>
        <v>2.0278876453756687</v>
      </c>
      <c r="T23" s="7">
        <f t="shared" si="5"/>
        <v>20.27626296808554</v>
      </c>
      <c r="U23" s="7">
        <f>IFERROR(IF(G23="LV",Loss!$Q$36*Customer!R23/Loss!$Q$37,IF(G23="MV",Loss!$Q$30*Customer!R23/Loss!$Q$31,Loss!$Q$24*Customer!R23/Loss!$Q$25)),0)</f>
        <v>0.35615229606562682</v>
      </c>
      <c r="V23" s="7">
        <f t="shared" si="6"/>
        <v>2.5155128908288793</v>
      </c>
      <c r="W23" s="7">
        <f t="shared" si="7"/>
        <v>2.0278876453756673</v>
      </c>
      <c r="X23" s="128">
        <f t="shared" si="8"/>
        <v>0.10001288938536282</v>
      </c>
      <c r="Y23" s="7"/>
      <c r="Z23" s="7">
        <f t="shared" si="9"/>
        <v>2540.424229133238</v>
      </c>
      <c r="AA23" s="136">
        <v>0</v>
      </c>
      <c r="AB23" s="133">
        <f t="shared" si="10"/>
        <v>0</v>
      </c>
      <c r="AC23" s="7"/>
      <c r="AD23" s="100">
        <v>4.9610360799999995</v>
      </c>
      <c r="AE23" s="100">
        <v>3.1443999999999998E-4</v>
      </c>
      <c r="AF23" s="100">
        <v>0</v>
      </c>
      <c r="AG23" s="7">
        <f t="shared" si="11"/>
        <v>4.9613505199999999</v>
      </c>
      <c r="AH23" s="79"/>
    </row>
    <row r="24" spans="2:34" x14ac:dyDescent="0.25">
      <c r="B24" s="1">
        <v>13</v>
      </c>
      <c r="C24" s="77" t="s">
        <v>31</v>
      </c>
      <c r="F24" s="85" t="s">
        <v>326</v>
      </c>
      <c r="G24" s="85" t="s">
        <v>16</v>
      </c>
      <c r="H24" s="86">
        <v>0.82</v>
      </c>
      <c r="I24" s="87">
        <v>0.85</v>
      </c>
      <c r="J24" s="125">
        <v>1</v>
      </c>
      <c r="K24" s="100">
        <v>39.896447965815007</v>
      </c>
      <c r="L24" s="7">
        <f t="shared" si="0"/>
        <v>5.5541329721871886</v>
      </c>
      <c r="M24" s="7">
        <f t="shared" si="1"/>
        <v>4.7210130263591106</v>
      </c>
      <c r="N24" s="86">
        <v>0</v>
      </c>
      <c r="O24" s="7">
        <f>N24*Loss!$F$6</f>
        <v>0</v>
      </c>
      <c r="P24" s="7">
        <f t="shared" si="2"/>
        <v>39.896447965815007</v>
      </c>
      <c r="Q24" s="7">
        <f t="shared" si="3"/>
        <v>5.5541329721871886</v>
      </c>
      <c r="R24" s="7">
        <f t="shared" si="4"/>
        <v>4.7210130263591106</v>
      </c>
      <c r="S24" s="7">
        <f>IFERROR(IF(G24="LV",Loss!$F$36*Customer!P24/Loss!$F$37,IF(G24="MV",Loss!$F$30*Customer!P24/Loss!$F$31,Loss!$F$24*Customer!P24/Loss!$F$25)),0)</f>
        <v>6.3588752820524066</v>
      </c>
      <c r="T24" s="7">
        <f t="shared" si="5"/>
        <v>46.255323247867416</v>
      </c>
      <c r="U24" s="7">
        <f>IFERROR(IF(G24="LV",Loss!$Q$36*Customer!R24/Loss!$Q$37,IF(G24="MV",Loss!$Q$30*Customer!R24/Loss!$Q$31,Loss!$Q$24*Customer!R24/Loss!$Q$25)),0)</f>
        <v>2.9690188830183772</v>
      </c>
      <c r="V24" s="7">
        <f t="shared" si="6"/>
        <v>7.6900319093774883</v>
      </c>
      <c r="W24" s="7">
        <f t="shared" si="7"/>
        <v>6.3588752820524093</v>
      </c>
      <c r="X24" s="128">
        <f t="shared" si="8"/>
        <v>0.13747337248033573</v>
      </c>
      <c r="Y24" s="7"/>
      <c r="Z24" s="7">
        <f t="shared" si="9"/>
        <v>5554.1329721871889</v>
      </c>
      <c r="AA24" s="136">
        <v>0</v>
      </c>
      <c r="AB24" s="133">
        <f t="shared" si="10"/>
        <v>0</v>
      </c>
      <c r="AC24" s="7"/>
      <c r="AD24" s="100">
        <v>7.6681223999999997</v>
      </c>
      <c r="AE24" s="100">
        <v>3.2414999999999999E-4</v>
      </c>
      <c r="AF24" s="100">
        <v>3.2576339999999999</v>
      </c>
      <c r="AG24" s="7">
        <f t="shared" si="11"/>
        <v>10.92608055</v>
      </c>
      <c r="AH24" s="79"/>
    </row>
    <row r="25" spans="2:34" x14ac:dyDescent="0.25">
      <c r="B25" s="1">
        <v>14</v>
      </c>
      <c r="C25" s="77" t="s">
        <v>32</v>
      </c>
      <c r="F25" s="85" t="s">
        <v>57</v>
      </c>
      <c r="G25" s="85" t="s">
        <v>15</v>
      </c>
      <c r="H25" s="86">
        <v>0.82</v>
      </c>
      <c r="I25" s="87">
        <v>0.85</v>
      </c>
      <c r="J25" s="125">
        <v>1</v>
      </c>
      <c r="K25" s="100">
        <v>152.13645508768806</v>
      </c>
      <c r="L25" s="7">
        <f t="shared" si="0"/>
        <v>21.1794819979519</v>
      </c>
      <c r="M25" s="7">
        <f t="shared" si="1"/>
        <v>18.002559698259116</v>
      </c>
      <c r="N25" s="86">
        <v>0</v>
      </c>
      <c r="O25" s="7">
        <f>N25*Loss!$F$6</f>
        <v>0</v>
      </c>
      <c r="P25" s="7">
        <f t="shared" si="2"/>
        <v>152.13645508768806</v>
      </c>
      <c r="Q25" s="7">
        <f t="shared" si="3"/>
        <v>21.1794819979519</v>
      </c>
      <c r="R25" s="7">
        <f t="shared" si="4"/>
        <v>18.002559698259116</v>
      </c>
      <c r="S25" s="7">
        <f>IFERROR(IF(G25="LV",Loss!$F$36*Customer!P25/Loss!$F$37,IF(G25="MV",Loss!$F$30*Customer!P25/Loss!$F$31,Loss!$F$24*Customer!P25/Loss!$F$25)),0)</f>
        <v>16.906471520214136</v>
      </c>
      <c r="T25" s="7">
        <f t="shared" si="5"/>
        <v>169.04292660790219</v>
      </c>
      <c r="U25" s="7">
        <f>IFERROR(IF(G25="LV",Loss!$Q$36*Customer!R25/Loss!$Q$37,IF(G25="MV",Loss!$Q$30*Customer!R25/Loss!$Q$31,Loss!$Q$24*Customer!R25/Loss!$Q$25)),0)</f>
        <v>2.9692368135005545</v>
      </c>
      <c r="V25" s="7">
        <f t="shared" si="6"/>
        <v>20.971796511759671</v>
      </c>
      <c r="W25" s="7">
        <f t="shared" si="7"/>
        <v>16.906471520214126</v>
      </c>
      <c r="X25" s="128">
        <f t="shared" si="8"/>
        <v>0.10001288938536282</v>
      </c>
      <c r="Y25" s="7"/>
      <c r="Z25" s="7">
        <f t="shared" si="9"/>
        <v>21179.481997951902</v>
      </c>
      <c r="AA25" s="136">
        <v>0</v>
      </c>
      <c r="AB25" s="133">
        <f t="shared" si="10"/>
        <v>0</v>
      </c>
      <c r="AC25" s="7"/>
      <c r="AD25" s="100">
        <v>29.210681530000002</v>
      </c>
      <c r="AE25" s="100">
        <v>3.2372999999999999E-4</v>
      </c>
      <c r="AF25" s="100">
        <v>13.45935791</v>
      </c>
      <c r="AG25" s="7">
        <f t="shared" si="11"/>
        <v>42.670363170000002</v>
      </c>
      <c r="AH25" s="79"/>
    </row>
    <row r="26" spans="2:34" x14ac:dyDescent="0.25">
      <c r="B26" s="1">
        <v>15</v>
      </c>
      <c r="C26" s="77" t="s">
        <v>33</v>
      </c>
      <c r="F26" s="85" t="s">
        <v>326</v>
      </c>
      <c r="G26" s="85" t="s">
        <v>15</v>
      </c>
      <c r="H26" s="86">
        <v>0.82</v>
      </c>
      <c r="I26" s="87">
        <v>0.85</v>
      </c>
      <c r="J26" s="125">
        <v>1</v>
      </c>
      <c r="K26" s="100">
        <v>270.99587287456603</v>
      </c>
      <c r="L26" s="7">
        <f t="shared" si="0"/>
        <v>37.72634381258576</v>
      </c>
      <c r="M26" s="7">
        <f t="shared" si="1"/>
        <v>32.067392240697899</v>
      </c>
      <c r="N26" s="86">
        <v>0</v>
      </c>
      <c r="O26" s="7">
        <f>N26*Loss!$F$6</f>
        <v>0</v>
      </c>
      <c r="P26" s="7">
        <f t="shared" si="2"/>
        <v>270.99587287456603</v>
      </c>
      <c r="Q26" s="7">
        <f t="shared" si="3"/>
        <v>37.72634381258576</v>
      </c>
      <c r="R26" s="7">
        <f t="shared" si="4"/>
        <v>32.067392240697899</v>
      </c>
      <c r="S26" s="7">
        <f>IFERROR(IF(G26="LV",Loss!$F$36*Customer!P26/Loss!$F$37,IF(G26="MV",Loss!$F$30*Customer!P26/Loss!$F$31,Loss!$F$24*Customer!P26/Loss!$F$25)),0)</f>
        <v>30.114964912313084</v>
      </c>
      <c r="T26" s="7">
        <f t="shared" si="5"/>
        <v>301.11083778687913</v>
      </c>
      <c r="U26" s="7">
        <f>IFERROR(IF(G26="LV",Loss!$Q$36*Customer!R26/Loss!$Q$37,IF(G26="MV",Loss!$Q$30*Customer!R26/Loss!$Q$31,Loss!$Q$24*Customer!R26/Loss!$Q$25)),0)</f>
        <v>5.2890079605318459</v>
      </c>
      <c r="V26" s="7">
        <f t="shared" si="6"/>
        <v>37.356400201229746</v>
      </c>
      <c r="W26" s="7">
        <f t="shared" si="7"/>
        <v>30.114964912313098</v>
      </c>
      <c r="X26" s="128">
        <f t="shared" si="8"/>
        <v>0.10001288938536292</v>
      </c>
      <c r="Y26" s="7"/>
      <c r="Z26" s="7">
        <f t="shared" si="9"/>
        <v>37726.343812585757</v>
      </c>
      <c r="AA26" s="136">
        <v>0</v>
      </c>
      <c r="AB26" s="133">
        <f t="shared" si="10"/>
        <v>0</v>
      </c>
      <c r="AC26" s="7"/>
      <c r="AD26" s="100">
        <v>51.759134619999998</v>
      </c>
      <c r="AE26" s="100">
        <v>3.2245E-4</v>
      </c>
      <c r="AF26" s="100">
        <v>25.606525140000002</v>
      </c>
      <c r="AG26" s="7">
        <f t="shared" si="11"/>
        <v>77.365982209999999</v>
      </c>
      <c r="AH26" s="79"/>
    </row>
    <row r="27" spans="2:34" x14ac:dyDescent="0.25">
      <c r="B27" s="1">
        <v>16</v>
      </c>
      <c r="C27" s="77" t="s">
        <v>34</v>
      </c>
      <c r="F27" s="85"/>
      <c r="G27" s="85"/>
      <c r="H27" s="86"/>
      <c r="I27" s="87"/>
      <c r="J27" s="125">
        <v>0</v>
      </c>
      <c r="K27" s="100"/>
      <c r="L27" s="7">
        <f t="shared" si="0"/>
        <v>0</v>
      </c>
      <c r="M27" s="7">
        <f t="shared" si="1"/>
        <v>0</v>
      </c>
      <c r="N27" s="86"/>
      <c r="O27" s="7">
        <f>N27*Loss!$F$6</f>
        <v>0</v>
      </c>
      <c r="P27" s="7">
        <f t="shared" si="2"/>
        <v>0</v>
      </c>
      <c r="Q27" s="7" t="str">
        <f t="shared" si="3"/>
        <v>--</v>
      </c>
      <c r="R27" s="7">
        <f t="shared" si="4"/>
        <v>0</v>
      </c>
      <c r="S27" s="7">
        <f>IFERROR(IF(G27="LV",Loss!$F$36*Customer!P27/Loss!$F$37,IF(G27="MV",Loss!$F$30*Customer!P27/Loss!$F$31,Loss!$F$24*Customer!P27/Loss!$F$25)),0)</f>
        <v>0</v>
      </c>
      <c r="T27" s="7">
        <f t="shared" si="5"/>
        <v>0</v>
      </c>
      <c r="U27" s="7">
        <f>IFERROR(IF(G27="LV",Loss!$Q$36*Customer!R27/Loss!$Q$37,IF(G27="MV",Loss!$Q$30*Customer!R27/Loss!$Q$31,Loss!$Q$24*Customer!R27/Loss!$Q$25)),0)</f>
        <v>0</v>
      </c>
      <c r="V27" s="7">
        <f t="shared" si="6"/>
        <v>0</v>
      </c>
      <c r="W27" s="7">
        <f t="shared" si="7"/>
        <v>0</v>
      </c>
      <c r="X27" s="128">
        <f t="shared" si="8"/>
        <v>0</v>
      </c>
      <c r="Y27" s="7"/>
      <c r="Z27" s="7">
        <f t="shared" si="9"/>
        <v>0</v>
      </c>
      <c r="AA27" s="136"/>
      <c r="AB27" s="133">
        <f t="shared" si="10"/>
        <v>0</v>
      </c>
      <c r="AC27" s="7"/>
      <c r="AD27" s="100"/>
      <c r="AE27" s="100"/>
      <c r="AF27" s="100"/>
      <c r="AG27" s="7">
        <f t="shared" si="11"/>
        <v>0</v>
      </c>
      <c r="AH27" s="79"/>
    </row>
    <row r="28" spans="2:34" x14ac:dyDescent="0.25">
      <c r="B28" s="1">
        <v>17</v>
      </c>
      <c r="C28" s="77" t="s">
        <v>35</v>
      </c>
      <c r="F28" s="85"/>
      <c r="G28" s="85"/>
      <c r="H28" s="86"/>
      <c r="I28" s="87"/>
      <c r="J28" s="125">
        <v>0</v>
      </c>
      <c r="K28" s="100"/>
      <c r="L28" s="7">
        <f t="shared" si="0"/>
        <v>0</v>
      </c>
      <c r="M28" s="7">
        <f t="shared" si="1"/>
        <v>0</v>
      </c>
      <c r="N28" s="86"/>
      <c r="O28" s="7">
        <f>N28*Loss!$F$6</f>
        <v>0</v>
      </c>
      <c r="P28" s="7">
        <f t="shared" si="2"/>
        <v>0</v>
      </c>
      <c r="Q28" s="7" t="str">
        <f t="shared" si="3"/>
        <v>--</v>
      </c>
      <c r="R28" s="7">
        <f t="shared" si="4"/>
        <v>0</v>
      </c>
      <c r="S28" s="7">
        <f>IFERROR(IF(G28="LV",Loss!$F$36*Customer!P28/Loss!$F$37,IF(G28="MV",Loss!$F$30*Customer!P28/Loss!$F$31,Loss!$F$24*Customer!P28/Loss!$F$25)),0)</f>
        <v>0</v>
      </c>
      <c r="T28" s="7">
        <f t="shared" si="5"/>
        <v>0</v>
      </c>
      <c r="U28" s="7">
        <f>IFERROR(IF(G28="LV",Loss!$Q$36*Customer!R28/Loss!$Q$37,IF(G28="MV",Loss!$Q$30*Customer!R28/Loss!$Q$31,Loss!$Q$24*Customer!R28/Loss!$Q$25)),0)</f>
        <v>0</v>
      </c>
      <c r="V28" s="7">
        <f t="shared" si="6"/>
        <v>0</v>
      </c>
      <c r="W28" s="7">
        <f t="shared" si="7"/>
        <v>0</v>
      </c>
      <c r="X28" s="128">
        <f t="shared" si="8"/>
        <v>0</v>
      </c>
      <c r="Y28" s="7"/>
      <c r="Z28" s="7">
        <f t="shared" si="9"/>
        <v>0</v>
      </c>
      <c r="AA28" s="136"/>
      <c r="AB28" s="133">
        <f t="shared" si="10"/>
        <v>0</v>
      </c>
      <c r="AC28" s="7"/>
      <c r="AD28" s="100"/>
      <c r="AE28" s="100"/>
      <c r="AF28" s="100"/>
      <c r="AG28" s="7">
        <f t="shared" si="11"/>
        <v>0</v>
      </c>
      <c r="AH28" s="79"/>
    </row>
    <row r="29" spans="2:34" x14ac:dyDescent="0.25">
      <c r="B29" s="1">
        <v>18</v>
      </c>
      <c r="C29" s="77" t="s">
        <v>36</v>
      </c>
      <c r="F29" s="85"/>
      <c r="G29" s="85"/>
      <c r="H29" s="86"/>
      <c r="I29" s="87"/>
      <c r="J29" s="125">
        <v>0</v>
      </c>
      <c r="K29" s="100"/>
      <c r="L29" s="7">
        <f t="shared" si="0"/>
        <v>0</v>
      </c>
      <c r="M29" s="7">
        <f t="shared" si="1"/>
        <v>0</v>
      </c>
      <c r="N29" s="86"/>
      <c r="O29" s="7">
        <f>N29*Loss!$F$6</f>
        <v>0</v>
      </c>
      <c r="P29" s="7">
        <f t="shared" si="2"/>
        <v>0</v>
      </c>
      <c r="Q29" s="7" t="str">
        <f t="shared" si="3"/>
        <v>--</v>
      </c>
      <c r="R29" s="7">
        <f t="shared" si="4"/>
        <v>0</v>
      </c>
      <c r="S29" s="7">
        <f>IFERROR(IF(G29="LV",Loss!$F$36*Customer!P29/Loss!$F$37,IF(G29="MV",Loss!$F$30*Customer!P29/Loss!$F$31,Loss!$F$24*Customer!P29/Loss!$F$25)),0)</f>
        <v>0</v>
      </c>
      <c r="T29" s="7">
        <f t="shared" si="5"/>
        <v>0</v>
      </c>
      <c r="U29" s="7">
        <f>IFERROR(IF(G29="LV",Loss!$Q$36*Customer!R29/Loss!$Q$37,IF(G29="MV",Loss!$Q$30*Customer!R29/Loss!$Q$31,Loss!$Q$24*Customer!R29/Loss!$Q$25)),0)</f>
        <v>0</v>
      </c>
      <c r="V29" s="7">
        <f t="shared" si="6"/>
        <v>0</v>
      </c>
      <c r="W29" s="7">
        <f t="shared" si="7"/>
        <v>0</v>
      </c>
      <c r="X29" s="128">
        <f t="shared" si="8"/>
        <v>0</v>
      </c>
      <c r="Y29" s="7"/>
      <c r="Z29" s="7">
        <f t="shared" si="9"/>
        <v>0</v>
      </c>
      <c r="AA29" s="136"/>
      <c r="AB29" s="133">
        <f t="shared" si="10"/>
        <v>0</v>
      </c>
      <c r="AC29" s="7"/>
      <c r="AD29" s="100"/>
      <c r="AE29" s="100"/>
      <c r="AF29" s="100"/>
      <c r="AG29" s="7">
        <f t="shared" si="11"/>
        <v>0</v>
      </c>
      <c r="AH29" s="79"/>
    </row>
    <row r="30" spans="2:34" x14ac:dyDescent="0.25">
      <c r="B30" s="1">
        <v>19</v>
      </c>
      <c r="C30" s="77" t="s">
        <v>37</v>
      </c>
      <c r="F30" s="85"/>
      <c r="G30" s="85"/>
      <c r="H30" s="86"/>
      <c r="I30" s="87"/>
      <c r="J30" s="125">
        <v>0</v>
      </c>
      <c r="K30" s="100"/>
      <c r="L30" s="7">
        <f t="shared" si="0"/>
        <v>0</v>
      </c>
      <c r="M30" s="7">
        <f t="shared" ref="M30:M39" si="12">IFERROR(L30*I30,"--")</f>
        <v>0</v>
      </c>
      <c r="N30" s="86"/>
      <c r="O30" s="7">
        <f>N30*Loss!$F$6</f>
        <v>0</v>
      </c>
      <c r="P30" s="7">
        <f t="shared" si="2"/>
        <v>0</v>
      </c>
      <c r="Q30" s="7" t="str">
        <f t="shared" si="3"/>
        <v>--</v>
      </c>
      <c r="R30" s="7">
        <f t="shared" si="4"/>
        <v>0</v>
      </c>
      <c r="S30" s="7">
        <f>IFERROR(IF(G30="LV",Loss!$F$36*Customer!P30/Loss!$F$37,IF(G30="MV",Loss!$F$30*Customer!P30/Loss!$F$31,Loss!$F$24*Customer!P30/Loss!$F$25)),0)</f>
        <v>0</v>
      </c>
      <c r="T30" s="7">
        <f t="shared" si="5"/>
        <v>0</v>
      </c>
      <c r="U30" s="7">
        <f>IFERROR(IF(G30="LV",Loss!$Q$36*Customer!R30/Loss!$Q$37,IF(G30="MV",Loss!$Q$30*Customer!R30/Loss!$Q$31,Loss!$Q$24*Customer!R30/Loss!$Q$25)),0)</f>
        <v>0</v>
      </c>
      <c r="V30" s="7">
        <f t="shared" si="6"/>
        <v>0</v>
      </c>
      <c r="W30" s="7">
        <f t="shared" si="7"/>
        <v>0</v>
      </c>
      <c r="X30" s="128">
        <f t="shared" si="8"/>
        <v>0</v>
      </c>
      <c r="Y30" s="7"/>
      <c r="Z30" s="7">
        <f t="shared" si="9"/>
        <v>0</v>
      </c>
      <c r="AA30" s="136"/>
      <c r="AB30" s="133">
        <f t="shared" si="10"/>
        <v>0</v>
      </c>
      <c r="AC30" s="7"/>
      <c r="AD30" s="100"/>
      <c r="AE30" s="100"/>
      <c r="AF30" s="100"/>
      <c r="AG30" s="7">
        <f t="shared" si="11"/>
        <v>0</v>
      </c>
      <c r="AH30" s="79"/>
    </row>
    <row r="31" spans="2:34" x14ac:dyDescent="0.25">
      <c r="B31" s="1">
        <v>20</v>
      </c>
      <c r="C31" s="77" t="s">
        <v>38</v>
      </c>
      <c r="F31" s="85"/>
      <c r="G31" s="85"/>
      <c r="H31" s="86"/>
      <c r="I31" s="87"/>
      <c r="J31" s="125">
        <v>0</v>
      </c>
      <c r="K31" s="100"/>
      <c r="L31" s="7">
        <f t="shared" si="0"/>
        <v>0</v>
      </c>
      <c r="M31" s="7">
        <f t="shared" si="12"/>
        <v>0</v>
      </c>
      <c r="N31" s="86"/>
      <c r="O31" s="7">
        <f>N31*Loss!$F$6</f>
        <v>0</v>
      </c>
      <c r="P31" s="7">
        <f t="shared" si="2"/>
        <v>0</v>
      </c>
      <c r="Q31" s="7" t="str">
        <f t="shared" si="3"/>
        <v>--</v>
      </c>
      <c r="R31" s="7">
        <f t="shared" si="4"/>
        <v>0</v>
      </c>
      <c r="S31" s="7">
        <f>IFERROR(IF(G31="LV",Loss!$F$36*Customer!P31/Loss!$F$37,IF(G31="MV",Loss!$F$30*Customer!P31/Loss!$F$31,Loss!$F$24*Customer!P31/Loss!$F$25)),0)</f>
        <v>0</v>
      </c>
      <c r="T31" s="7">
        <f t="shared" si="5"/>
        <v>0</v>
      </c>
      <c r="U31" s="7">
        <f>IFERROR(IF(G31="LV",Loss!$Q$36*Customer!R31/Loss!$Q$37,IF(G31="MV",Loss!$Q$30*Customer!R31/Loss!$Q$31,Loss!$Q$24*Customer!R31/Loss!$Q$25)),0)</f>
        <v>0</v>
      </c>
      <c r="V31" s="7">
        <f t="shared" si="6"/>
        <v>0</v>
      </c>
      <c r="W31" s="7">
        <f t="shared" si="7"/>
        <v>0</v>
      </c>
      <c r="X31" s="128">
        <f t="shared" si="8"/>
        <v>0</v>
      </c>
      <c r="Y31" s="7"/>
      <c r="Z31" s="7">
        <f t="shared" si="9"/>
        <v>0</v>
      </c>
      <c r="AA31" s="136"/>
      <c r="AB31" s="133">
        <f t="shared" si="10"/>
        <v>0</v>
      </c>
      <c r="AC31" s="7"/>
      <c r="AD31" s="100"/>
      <c r="AE31" s="100"/>
      <c r="AF31" s="100"/>
      <c r="AG31" s="7">
        <f t="shared" si="11"/>
        <v>0</v>
      </c>
      <c r="AH31" s="79"/>
    </row>
    <row r="32" spans="2:34" x14ac:dyDescent="0.25">
      <c r="B32" s="1">
        <v>21</v>
      </c>
      <c r="C32" s="77" t="s">
        <v>41</v>
      </c>
      <c r="F32" s="85"/>
      <c r="G32" s="85"/>
      <c r="H32" s="86"/>
      <c r="I32" s="87"/>
      <c r="J32" s="125">
        <v>0</v>
      </c>
      <c r="K32" s="100"/>
      <c r="L32" s="7">
        <f t="shared" si="0"/>
        <v>0</v>
      </c>
      <c r="M32" s="7">
        <f t="shared" si="12"/>
        <v>0</v>
      </c>
      <c r="N32" s="86"/>
      <c r="O32" s="7">
        <f>N32*Loss!$F$6</f>
        <v>0</v>
      </c>
      <c r="P32" s="7">
        <f t="shared" si="2"/>
        <v>0</v>
      </c>
      <c r="Q32" s="7" t="str">
        <f t="shared" si="3"/>
        <v>--</v>
      </c>
      <c r="R32" s="7">
        <f t="shared" si="4"/>
        <v>0</v>
      </c>
      <c r="S32" s="7">
        <f>IFERROR(IF(G32="LV",Loss!$F$36*Customer!P32/Loss!$F$37,IF(G32="MV",Loss!$F$30*Customer!P32/Loss!$F$31,Loss!$F$24*Customer!P32/Loss!$F$25)),0)</f>
        <v>0</v>
      </c>
      <c r="T32" s="7">
        <f t="shared" si="5"/>
        <v>0</v>
      </c>
      <c r="U32" s="7">
        <f>IFERROR(IF(G32="LV",Loss!$Q$36*Customer!R32/Loss!$Q$37,IF(G32="MV",Loss!$Q$30*Customer!R32/Loss!$Q$31,Loss!$Q$24*Customer!R32/Loss!$Q$25)),0)</f>
        <v>0</v>
      </c>
      <c r="V32" s="7">
        <f t="shared" si="6"/>
        <v>0</v>
      </c>
      <c r="W32" s="7">
        <f t="shared" si="7"/>
        <v>0</v>
      </c>
      <c r="X32" s="128">
        <f t="shared" si="8"/>
        <v>0</v>
      </c>
      <c r="Y32" s="7"/>
      <c r="Z32" s="7">
        <f t="shared" si="9"/>
        <v>0</v>
      </c>
      <c r="AA32" s="136"/>
      <c r="AB32" s="133">
        <f t="shared" si="10"/>
        <v>0</v>
      </c>
      <c r="AC32" s="7"/>
      <c r="AD32" s="100"/>
      <c r="AE32" s="100"/>
      <c r="AF32" s="100"/>
      <c r="AG32" s="7">
        <f t="shared" si="11"/>
        <v>0</v>
      </c>
      <c r="AH32" s="79"/>
    </row>
    <row r="33" spans="2:34" x14ac:dyDescent="0.25">
      <c r="B33" s="1">
        <v>22</v>
      </c>
      <c r="C33" s="77" t="s">
        <v>42</v>
      </c>
      <c r="F33" s="85"/>
      <c r="G33" s="85"/>
      <c r="H33" s="86"/>
      <c r="I33" s="87"/>
      <c r="J33" s="125">
        <v>0</v>
      </c>
      <c r="K33" s="100"/>
      <c r="L33" s="7">
        <f t="shared" si="0"/>
        <v>0</v>
      </c>
      <c r="M33" s="7">
        <f t="shared" si="12"/>
        <v>0</v>
      </c>
      <c r="N33" s="86"/>
      <c r="O33" s="7">
        <f>N33*Loss!$F$6</f>
        <v>0</v>
      </c>
      <c r="P33" s="7">
        <f t="shared" si="2"/>
        <v>0</v>
      </c>
      <c r="Q33" s="7" t="str">
        <f t="shared" si="3"/>
        <v>--</v>
      </c>
      <c r="R33" s="7">
        <f t="shared" si="4"/>
        <v>0</v>
      </c>
      <c r="S33" s="7">
        <f>IFERROR(IF(G33="LV",Loss!$F$36*Customer!P33/Loss!$F$37,IF(G33="MV",Loss!$F$30*Customer!P33/Loss!$F$31,Loss!$F$24*Customer!P33/Loss!$F$25)),0)</f>
        <v>0</v>
      </c>
      <c r="T33" s="7">
        <f t="shared" si="5"/>
        <v>0</v>
      </c>
      <c r="U33" s="7">
        <f>IFERROR(IF(G33="LV",Loss!$Q$36*Customer!R33/Loss!$Q$37,IF(G33="MV",Loss!$Q$30*Customer!R33/Loss!$Q$31,Loss!$Q$24*Customer!R33/Loss!$Q$25)),0)</f>
        <v>0</v>
      </c>
      <c r="V33" s="7">
        <f t="shared" si="6"/>
        <v>0</v>
      </c>
      <c r="W33" s="7">
        <f t="shared" si="7"/>
        <v>0</v>
      </c>
      <c r="X33" s="128">
        <f t="shared" si="8"/>
        <v>0</v>
      </c>
      <c r="Y33" s="7"/>
      <c r="Z33" s="7">
        <f t="shared" si="9"/>
        <v>0</v>
      </c>
      <c r="AA33" s="136"/>
      <c r="AB33" s="133">
        <f t="shared" si="10"/>
        <v>0</v>
      </c>
      <c r="AC33" s="7"/>
      <c r="AD33" s="100"/>
      <c r="AE33" s="100"/>
      <c r="AF33" s="100"/>
      <c r="AG33" s="7">
        <f t="shared" si="11"/>
        <v>0</v>
      </c>
      <c r="AH33" s="79"/>
    </row>
    <row r="34" spans="2:34" x14ac:dyDescent="0.25">
      <c r="B34" s="1">
        <v>23</v>
      </c>
      <c r="C34" s="77" t="s">
        <v>43</v>
      </c>
      <c r="F34" s="85"/>
      <c r="G34" s="85"/>
      <c r="H34" s="86"/>
      <c r="I34" s="87"/>
      <c r="J34" s="125">
        <v>0</v>
      </c>
      <c r="K34" s="100"/>
      <c r="L34" s="7">
        <f t="shared" si="0"/>
        <v>0</v>
      </c>
      <c r="M34" s="7">
        <f t="shared" si="12"/>
        <v>0</v>
      </c>
      <c r="N34" s="86"/>
      <c r="O34" s="7">
        <f>N34*Loss!$F$6</f>
        <v>0</v>
      </c>
      <c r="P34" s="7">
        <f t="shared" si="2"/>
        <v>0</v>
      </c>
      <c r="Q34" s="7" t="str">
        <f t="shared" si="3"/>
        <v>--</v>
      </c>
      <c r="R34" s="7">
        <f t="shared" si="4"/>
        <v>0</v>
      </c>
      <c r="S34" s="7">
        <f>IFERROR(IF(G34="LV",Loss!$F$36*Customer!P34/Loss!$F$37,IF(G34="MV",Loss!$F$30*Customer!P34/Loss!$F$31,Loss!$F$24*Customer!P34/Loss!$F$25)),0)</f>
        <v>0</v>
      </c>
      <c r="T34" s="7">
        <f t="shared" si="5"/>
        <v>0</v>
      </c>
      <c r="U34" s="7">
        <f>IFERROR(IF(G34="LV",Loss!$Q$36*Customer!R34/Loss!$Q$37,IF(G34="MV",Loss!$Q$30*Customer!R34/Loss!$Q$31,Loss!$Q$24*Customer!R34/Loss!$Q$25)),0)</f>
        <v>0</v>
      </c>
      <c r="V34" s="7">
        <f t="shared" si="6"/>
        <v>0</v>
      </c>
      <c r="W34" s="7">
        <f t="shared" si="7"/>
        <v>0</v>
      </c>
      <c r="X34" s="128">
        <f t="shared" si="8"/>
        <v>0</v>
      </c>
      <c r="Y34" s="7"/>
      <c r="Z34" s="7">
        <f t="shared" si="9"/>
        <v>0</v>
      </c>
      <c r="AA34" s="136"/>
      <c r="AB34" s="133">
        <f t="shared" si="10"/>
        <v>0</v>
      </c>
      <c r="AC34" s="7"/>
      <c r="AD34" s="100"/>
      <c r="AE34" s="100"/>
      <c r="AF34" s="100"/>
      <c r="AG34" s="7">
        <f t="shared" si="11"/>
        <v>0</v>
      </c>
      <c r="AH34" s="79"/>
    </row>
    <row r="35" spans="2:34" x14ac:dyDescent="0.25">
      <c r="B35" s="1">
        <v>24</v>
      </c>
      <c r="C35" s="77" t="s">
        <v>44</v>
      </c>
      <c r="F35" s="85"/>
      <c r="G35" s="85"/>
      <c r="H35" s="86"/>
      <c r="I35" s="87"/>
      <c r="J35" s="125">
        <v>0</v>
      </c>
      <c r="K35" s="100"/>
      <c r="L35" s="7">
        <f t="shared" si="0"/>
        <v>0</v>
      </c>
      <c r="M35" s="7">
        <f t="shared" si="12"/>
        <v>0</v>
      </c>
      <c r="N35" s="86"/>
      <c r="O35" s="7">
        <f>N35*Loss!$F$6</f>
        <v>0</v>
      </c>
      <c r="P35" s="7">
        <f t="shared" si="2"/>
        <v>0</v>
      </c>
      <c r="Q35" s="7" t="str">
        <f t="shared" si="3"/>
        <v>--</v>
      </c>
      <c r="R35" s="7">
        <f t="shared" si="4"/>
        <v>0</v>
      </c>
      <c r="S35" s="7">
        <f>IFERROR(IF(G35="LV",Loss!$F$36*Customer!P35/Loss!$F$37,IF(G35="MV",Loss!$F$30*Customer!P35/Loss!$F$31,Loss!$F$24*Customer!P35/Loss!$F$25)),0)</f>
        <v>0</v>
      </c>
      <c r="T35" s="7">
        <f t="shared" si="5"/>
        <v>0</v>
      </c>
      <c r="U35" s="7">
        <f>IFERROR(IF(G35="LV",Loss!$Q$36*Customer!R35/Loss!$Q$37,IF(G35="MV",Loss!$Q$30*Customer!R35/Loss!$Q$31,Loss!$Q$24*Customer!R35/Loss!$Q$25)),0)</f>
        <v>0</v>
      </c>
      <c r="V35" s="7">
        <f t="shared" si="6"/>
        <v>0</v>
      </c>
      <c r="W35" s="7">
        <f t="shared" si="7"/>
        <v>0</v>
      </c>
      <c r="X35" s="128">
        <f t="shared" si="8"/>
        <v>0</v>
      </c>
      <c r="Y35" s="7"/>
      <c r="Z35" s="7">
        <f t="shared" si="9"/>
        <v>0</v>
      </c>
      <c r="AA35" s="136"/>
      <c r="AB35" s="133">
        <f t="shared" si="10"/>
        <v>0</v>
      </c>
      <c r="AC35" s="7"/>
      <c r="AD35" s="100"/>
      <c r="AE35" s="100"/>
      <c r="AF35" s="100"/>
      <c r="AG35" s="7">
        <f t="shared" si="11"/>
        <v>0</v>
      </c>
      <c r="AH35" s="79"/>
    </row>
    <row r="36" spans="2:34" x14ac:dyDescent="0.25">
      <c r="B36" s="1">
        <v>25</v>
      </c>
      <c r="C36" s="77" t="s">
        <v>45</v>
      </c>
      <c r="F36" s="85"/>
      <c r="G36" s="85"/>
      <c r="H36" s="86"/>
      <c r="I36" s="87"/>
      <c r="J36" s="125">
        <v>0</v>
      </c>
      <c r="K36" s="100"/>
      <c r="L36" s="7">
        <f t="shared" si="0"/>
        <v>0</v>
      </c>
      <c r="M36" s="7">
        <f t="shared" si="12"/>
        <v>0</v>
      </c>
      <c r="N36" s="86"/>
      <c r="O36" s="7">
        <f>N36*Loss!$F$6</f>
        <v>0</v>
      </c>
      <c r="P36" s="7">
        <f t="shared" si="2"/>
        <v>0</v>
      </c>
      <c r="Q36" s="7" t="str">
        <f t="shared" si="3"/>
        <v>--</v>
      </c>
      <c r="R36" s="7">
        <f t="shared" si="4"/>
        <v>0</v>
      </c>
      <c r="S36" s="7">
        <f>IFERROR(IF(G36="LV",Loss!$F$36*Customer!P36/Loss!$F$37,IF(G36="MV",Loss!$F$30*Customer!P36/Loss!$F$31,Loss!$F$24*Customer!P36/Loss!$F$25)),0)</f>
        <v>0</v>
      </c>
      <c r="T36" s="7">
        <f t="shared" si="5"/>
        <v>0</v>
      </c>
      <c r="U36" s="7">
        <f>IFERROR(IF(G36="LV",Loss!$Q$36*Customer!R36/Loss!$Q$37,IF(G36="MV",Loss!$Q$30*Customer!R36/Loss!$Q$31,Loss!$Q$24*Customer!R36/Loss!$Q$25)),0)</f>
        <v>0</v>
      </c>
      <c r="V36" s="7">
        <f t="shared" si="6"/>
        <v>0</v>
      </c>
      <c r="W36" s="7">
        <f t="shared" si="7"/>
        <v>0</v>
      </c>
      <c r="X36" s="128">
        <f t="shared" si="8"/>
        <v>0</v>
      </c>
      <c r="Y36" s="7"/>
      <c r="Z36" s="7">
        <f t="shared" si="9"/>
        <v>0</v>
      </c>
      <c r="AA36" s="136"/>
      <c r="AB36" s="133">
        <f t="shared" si="10"/>
        <v>0</v>
      </c>
      <c r="AC36" s="7"/>
      <c r="AD36" s="100"/>
      <c r="AE36" s="100"/>
      <c r="AF36" s="100"/>
      <c r="AG36" s="7">
        <f t="shared" si="11"/>
        <v>0</v>
      </c>
      <c r="AH36" s="79"/>
    </row>
    <row r="37" spans="2:34" x14ac:dyDescent="0.25">
      <c r="B37" s="1">
        <v>26</v>
      </c>
      <c r="C37" s="77" t="s">
        <v>46</v>
      </c>
      <c r="F37" s="85"/>
      <c r="G37" s="85"/>
      <c r="H37" s="86"/>
      <c r="I37" s="87"/>
      <c r="J37" s="125">
        <v>0</v>
      </c>
      <c r="K37" s="100"/>
      <c r="L37" s="7">
        <f t="shared" si="0"/>
        <v>0</v>
      </c>
      <c r="M37" s="7">
        <f t="shared" si="12"/>
        <v>0</v>
      </c>
      <c r="N37" s="86"/>
      <c r="O37" s="7">
        <f>N37*Loss!$F$6</f>
        <v>0</v>
      </c>
      <c r="P37" s="7">
        <f t="shared" si="2"/>
        <v>0</v>
      </c>
      <c r="Q37" s="7" t="str">
        <f t="shared" si="3"/>
        <v>--</v>
      </c>
      <c r="R37" s="7">
        <f t="shared" si="4"/>
        <v>0</v>
      </c>
      <c r="S37" s="7">
        <f>IFERROR(IF(G37="LV",Loss!$F$36*Customer!P37/Loss!$F$37,IF(G37="MV",Loss!$F$30*Customer!P37/Loss!$F$31,Loss!$F$24*Customer!P37/Loss!$F$25)),0)</f>
        <v>0</v>
      </c>
      <c r="T37" s="7">
        <f t="shared" si="5"/>
        <v>0</v>
      </c>
      <c r="U37" s="7">
        <f>IFERROR(IF(G37="LV",Loss!$Q$36*Customer!R37/Loss!$Q$37,IF(G37="MV",Loss!$Q$30*Customer!R37/Loss!$Q$31,Loss!$Q$24*Customer!R37/Loss!$Q$25)),0)</f>
        <v>0</v>
      </c>
      <c r="V37" s="7">
        <f t="shared" si="6"/>
        <v>0</v>
      </c>
      <c r="W37" s="7">
        <f t="shared" si="7"/>
        <v>0</v>
      </c>
      <c r="X37" s="128">
        <f t="shared" si="8"/>
        <v>0</v>
      </c>
      <c r="Y37" s="7"/>
      <c r="Z37" s="7">
        <f t="shared" si="9"/>
        <v>0</v>
      </c>
      <c r="AA37" s="136"/>
      <c r="AB37" s="133">
        <f t="shared" si="10"/>
        <v>0</v>
      </c>
      <c r="AC37" s="7"/>
      <c r="AD37" s="100"/>
      <c r="AE37" s="100"/>
      <c r="AF37" s="100"/>
      <c r="AG37" s="7">
        <f t="shared" si="11"/>
        <v>0</v>
      </c>
      <c r="AH37" s="79"/>
    </row>
    <row r="38" spans="2:34" x14ac:dyDescent="0.25">
      <c r="B38" s="1">
        <v>27</v>
      </c>
      <c r="C38" s="77" t="s">
        <v>47</v>
      </c>
      <c r="F38" s="85"/>
      <c r="G38" s="85"/>
      <c r="H38" s="86"/>
      <c r="I38" s="87"/>
      <c r="J38" s="125">
        <v>0</v>
      </c>
      <c r="K38" s="100"/>
      <c r="L38" s="7">
        <f t="shared" si="0"/>
        <v>0</v>
      </c>
      <c r="M38" s="7">
        <f t="shared" si="12"/>
        <v>0</v>
      </c>
      <c r="N38" s="86"/>
      <c r="O38" s="7">
        <f>N38*Loss!$F$6</f>
        <v>0</v>
      </c>
      <c r="P38" s="7">
        <f t="shared" si="2"/>
        <v>0</v>
      </c>
      <c r="Q38" s="7" t="str">
        <f t="shared" si="3"/>
        <v>--</v>
      </c>
      <c r="R38" s="7">
        <f t="shared" si="4"/>
        <v>0</v>
      </c>
      <c r="S38" s="7">
        <f>IFERROR(IF(G38="LV",Loss!$F$36*Customer!P38/Loss!$F$37,IF(G38="MV",Loss!$F$30*Customer!P38/Loss!$F$31,Loss!$F$24*Customer!P38/Loss!$F$25)),0)</f>
        <v>0</v>
      </c>
      <c r="T38" s="7">
        <f t="shared" si="5"/>
        <v>0</v>
      </c>
      <c r="U38" s="7">
        <f>IFERROR(IF(G38="LV",Loss!$Q$36*Customer!R38/Loss!$Q$37,IF(G38="MV",Loss!$Q$30*Customer!R38/Loss!$Q$31,Loss!$Q$24*Customer!R38/Loss!$Q$25)),0)</f>
        <v>0</v>
      </c>
      <c r="V38" s="7">
        <f t="shared" si="6"/>
        <v>0</v>
      </c>
      <c r="W38" s="7">
        <f t="shared" si="7"/>
        <v>0</v>
      </c>
      <c r="X38" s="128">
        <f t="shared" si="8"/>
        <v>0</v>
      </c>
      <c r="Y38" s="7"/>
      <c r="Z38" s="7">
        <f t="shared" si="9"/>
        <v>0</v>
      </c>
      <c r="AA38" s="136"/>
      <c r="AB38" s="133">
        <f t="shared" si="10"/>
        <v>0</v>
      </c>
      <c r="AC38" s="7"/>
      <c r="AD38" s="100"/>
      <c r="AE38" s="100"/>
      <c r="AF38" s="100"/>
      <c r="AG38" s="7">
        <f t="shared" si="11"/>
        <v>0</v>
      </c>
      <c r="AH38" s="79"/>
    </row>
    <row r="39" spans="2:34" x14ac:dyDescent="0.25">
      <c r="B39" s="1">
        <v>28</v>
      </c>
      <c r="C39" s="77" t="s">
        <v>48</v>
      </c>
      <c r="F39" s="85"/>
      <c r="G39" s="85"/>
      <c r="H39" s="86"/>
      <c r="I39" s="87"/>
      <c r="J39" s="125">
        <v>0</v>
      </c>
      <c r="K39" s="100"/>
      <c r="L39" s="7">
        <f t="shared" si="0"/>
        <v>0</v>
      </c>
      <c r="M39" s="7">
        <f t="shared" si="12"/>
        <v>0</v>
      </c>
      <c r="N39" s="86"/>
      <c r="O39" s="7">
        <f>N39*Loss!$F$6</f>
        <v>0</v>
      </c>
      <c r="P39" s="7">
        <f t="shared" si="2"/>
        <v>0</v>
      </c>
      <c r="Q39" s="7" t="str">
        <f t="shared" si="3"/>
        <v>--</v>
      </c>
      <c r="R39" s="7">
        <f t="shared" si="4"/>
        <v>0</v>
      </c>
      <c r="S39" s="7">
        <f>IFERROR(IF(G39="LV",Loss!$F$36*Customer!P39/Loss!$F$37,IF(G39="MV",Loss!$F$30*Customer!P39/Loss!$F$31,Loss!$F$24*Customer!P39/Loss!$F$25)),0)</f>
        <v>0</v>
      </c>
      <c r="T39" s="7">
        <f t="shared" si="5"/>
        <v>0</v>
      </c>
      <c r="U39" s="7">
        <f>IFERROR(IF(G39="LV",Loss!$Q$36*Customer!R39/Loss!$Q$37,IF(G39="MV",Loss!$Q$30*Customer!R39/Loss!$Q$31,Loss!$Q$24*Customer!R39/Loss!$Q$25)),0)</f>
        <v>0</v>
      </c>
      <c r="V39" s="7">
        <f t="shared" si="6"/>
        <v>0</v>
      </c>
      <c r="W39" s="7">
        <f t="shared" si="7"/>
        <v>0</v>
      </c>
      <c r="X39" s="128">
        <f t="shared" si="8"/>
        <v>0</v>
      </c>
      <c r="Y39" s="7"/>
      <c r="Z39" s="7">
        <f t="shared" si="9"/>
        <v>0</v>
      </c>
      <c r="AA39" s="136"/>
      <c r="AB39" s="133">
        <f t="shared" si="10"/>
        <v>0</v>
      </c>
      <c r="AC39" s="7"/>
      <c r="AD39" s="100"/>
      <c r="AE39" s="100"/>
      <c r="AF39" s="100"/>
      <c r="AG39" s="7">
        <f t="shared" si="11"/>
        <v>0</v>
      </c>
      <c r="AH39" s="79"/>
    </row>
    <row r="40" spans="2:34" x14ac:dyDescent="0.25">
      <c r="B40" s="1">
        <v>29</v>
      </c>
      <c r="C40" s="77" t="s">
        <v>49</v>
      </c>
      <c r="F40" s="85"/>
      <c r="G40" s="85"/>
      <c r="H40" s="86"/>
      <c r="I40" s="87"/>
      <c r="J40" s="125">
        <v>0</v>
      </c>
      <c r="K40" s="100"/>
      <c r="L40" s="7">
        <f t="shared" si="0"/>
        <v>0</v>
      </c>
      <c r="M40" s="7">
        <f t="shared" si="1"/>
        <v>0</v>
      </c>
      <c r="N40" s="86"/>
      <c r="O40" s="7">
        <f>N40*Loss!$F$6</f>
        <v>0</v>
      </c>
      <c r="P40" s="7">
        <f t="shared" si="2"/>
        <v>0</v>
      </c>
      <c r="Q40" s="7" t="str">
        <f t="shared" si="3"/>
        <v>--</v>
      </c>
      <c r="R40" s="7">
        <f t="shared" si="4"/>
        <v>0</v>
      </c>
      <c r="S40" s="7">
        <f>IFERROR(IF(G40="LV",Loss!$F$36*Customer!P40/Loss!$F$37,IF(G40="MV",Loss!$F$30*Customer!P40/Loss!$F$31,Loss!$F$24*Customer!P40/Loss!$F$25)),0)</f>
        <v>0</v>
      </c>
      <c r="T40" s="7">
        <f t="shared" si="5"/>
        <v>0</v>
      </c>
      <c r="U40" s="7">
        <f>IFERROR(IF(G40="LV",Loss!$Q$36*Customer!R40/Loss!$Q$37,IF(G40="MV",Loss!$Q$30*Customer!R40/Loss!$Q$31,Loss!$Q$24*Customer!R40/Loss!$Q$25)),0)</f>
        <v>0</v>
      </c>
      <c r="V40" s="7">
        <f t="shared" si="6"/>
        <v>0</v>
      </c>
      <c r="W40" s="7">
        <f t="shared" si="7"/>
        <v>0</v>
      </c>
      <c r="X40" s="128">
        <f t="shared" si="8"/>
        <v>0</v>
      </c>
      <c r="Y40" s="7"/>
      <c r="Z40" s="7">
        <f t="shared" si="9"/>
        <v>0</v>
      </c>
      <c r="AA40" s="136"/>
      <c r="AB40" s="133">
        <f t="shared" si="10"/>
        <v>0</v>
      </c>
      <c r="AC40" s="7"/>
      <c r="AD40" s="100"/>
      <c r="AE40" s="100"/>
      <c r="AF40" s="100"/>
      <c r="AG40" s="7">
        <f t="shared" si="11"/>
        <v>0</v>
      </c>
      <c r="AH40" s="79"/>
    </row>
    <row r="41" spans="2:34" x14ac:dyDescent="0.25">
      <c r="B41" s="1">
        <v>30</v>
      </c>
      <c r="C41" s="77" t="s">
        <v>50</v>
      </c>
      <c r="F41" s="85"/>
      <c r="G41" s="85"/>
      <c r="H41" s="86"/>
      <c r="I41" s="87"/>
      <c r="J41" s="125">
        <v>0</v>
      </c>
      <c r="K41" s="100"/>
      <c r="L41" s="7">
        <f t="shared" si="0"/>
        <v>0</v>
      </c>
      <c r="M41" s="7">
        <f t="shared" ref="M41" si="13">IFERROR(L41*I41,"--")</f>
        <v>0</v>
      </c>
      <c r="N41" s="86"/>
      <c r="O41" s="7">
        <f>N41*Loss!$F$6</f>
        <v>0</v>
      </c>
      <c r="P41" s="7">
        <f t="shared" ref="P41" si="14">K41+O41</f>
        <v>0</v>
      </c>
      <c r="Q41" s="7" t="str">
        <f t="shared" ref="Q41" si="15">IFERROR(P41/(8.76*H41),"--")</f>
        <v>--</v>
      </c>
      <c r="R41" s="7">
        <f t="shared" si="4"/>
        <v>0</v>
      </c>
      <c r="S41" s="7">
        <f>IFERROR(IF(G41="LV",Loss!$F$36*Customer!P41/Loss!$F$37,IF(G41="MV",Loss!$F$30*Customer!P41/Loss!$F$31,Loss!$F$24*Customer!P41/Loss!$F$25)),0)</f>
        <v>0</v>
      </c>
      <c r="T41" s="7">
        <f t="shared" si="5"/>
        <v>0</v>
      </c>
      <c r="U41" s="7">
        <f>IFERROR(IF(G41="LV",Loss!$Q$36*Customer!R41/Loss!$Q$37,IF(G41="MV",Loss!$Q$30*Customer!R41/Loss!$Q$31,Loss!$Q$24*Customer!R41/Loss!$Q$25)),0)</f>
        <v>0</v>
      </c>
      <c r="V41" s="7">
        <f t="shared" si="6"/>
        <v>0</v>
      </c>
      <c r="W41" s="7">
        <f t="shared" si="7"/>
        <v>0</v>
      </c>
      <c r="X41" s="128">
        <f t="shared" si="8"/>
        <v>0</v>
      </c>
      <c r="Y41" s="7"/>
      <c r="Z41" s="7">
        <f t="shared" si="9"/>
        <v>0</v>
      </c>
      <c r="AA41" s="136"/>
      <c r="AB41" s="133">
        <f t="shared" si="10"/>
        <v>0</v>
      </c>
      <c r="AC41" s="7"/>
      <c r="AD41" s="100"/>
      <c r="AE41" s="100"/>
      <c r="AF41" s="100"/>
      <c r="AG41" s="7">
        <f t="shared" si="11"/>
        <v>0</v>
      </c>
      <c r="AH41" s="79"/>
    </row>
    <row r="42" spans="2:34" x14ac:dyDescent="0.25">
      <c r="B42" s="120" t="s">
        <v>51</v>
      </c>
      <c r="C42" s="121" t="s">
        <v>432</v>
      </c>
      <c r="D42" s="122"/>
      <c r="E42" s="122"/>
      <c r="F42" s="88"/>
      <c r="G42" s="88"/>
      <c r="H42" s="89"/>
      <c r="I42" s="90"/>
      <c r="J42" s="125">
        <v>0</v>
      </c>
      <c r="K42" s="101"/>
      <c r="L42" s="98">
        <f t="shared" si="0"/>
        <v>0</v>
      </c>
      <c r="M42" s="98"/>
      <c r="N42" s="89"/>
      <c r="O42" s="98"/>
      <c r="P42" s="98"/>
      <c r="Q42" s="98"/>
      <c r="R42" s="98"/>
      <c r="S42" s="123">
        <f>Loss!F4-SUM(Customer!S12:S41)</f>
        <v>7.3896444519050419E-13</v>
      </c>
      <c r="T42" s="98">
        <f t="shared" si="5"/>
        <v>7.3896444519050419E-13</v>
      </c>
      <c r="U42" s="123">
        <f>Loss!Q4-SUM(Customer!U12:U41)</f>
        <v>-1.4888099588802106E-2</v>
      </c>
      <c r="V42" s="98">
        <f t="shared" si="6"/>
        <v>-1.4888099588802106E-2</v>
      </c>
      <c r="W42" s="98">
        <f t="shared" ref="W42" si="16">T42-K42</f>
        <v>7.3896444519050419E-13</v>
      </c>
      <c r="X42" s="129"/>
      <c r="Y42" s="98"/>
      <c r="Z42" s="98">
        <f t="shared" si="9"/>
        <v>0</v>
      </c>
      <c r="AA42" s="137"/>
      <c r="AB42" s="134">
        <f t="shared" si="10"/>
        <v>0</v>
      </c>
      <c r="AC42" s="98"/>
      <c r="AD42" s="101"/>
      <c r="AE42" s="101"/>
      <c r="AF42" s="101"/>
      <c r="AG42" s="98">
        <f t="shared" si="11"/>
        <v>0</v>
      </c>
      <c r="AH42" s="80"/>
    </row>
    <row r="43" spans="2:34" s="5" customFormat="1" x14ac:dyDescent="0.25">
      <c r="J43" s="126">
        <f>SUM(J12:J42)</f>
        <v>198615.06009933358</v>
      </c>
      <c r="K43" s="7">
        <f>SUM(K12:K42)</f>
        <v>2916.2499999999995</v>
      </c>
      <c r="L43" s="7">
        <f t="shared" ref="L43:W43" si="17">SUM(L12:L42)</f>
        <v>662.47765708795168</v>
      </c>
      <c r="M43" s="7">
        <f t="shared" si="17"/>
        <v>429.09051139574842</v>
      </c>
      <c r="N43" s="102">
        <f>SUM(N12:N42)</f>
        <v>1</v>
      </c>
      <c r="O43" s="7">
        <f t="shared" si="17"/>
        <v>52.130000000000116</v>
      </c>
      <c r="P43" s="7">
        <f t="shared" si="17"/>
        <v>2968.3799999999997</v>
      </c>
      <c r="Q43" s="7">
        <f t="shared" si="17"/>
        <v>677.14135148265871</v>
      </c>
      <c r="R43" s="7">
        <f t="shared" si="17"/>
        <v>435.8118503394345</v>
      </c>
      <c r="S43" s="7">
        <f t="shared" si="17"/>
        <v>329.82</v>
      </c>
      <c r="T43" s="7">
        <f t="shared" si="17"/>
        <v>3298.2000000000003</v>
      </c>
      <c r="U43" s="7">
        <f t="shared" si="17"/>
        <v>67.806202029737307</v>
      </c>
      <c r="V43" s="7">
        <f t="shared" si="17"/>
        <v>503.61805236917178</v>
      </c>
      <c r="W43" s="7">
        <f t="shared" si="17"/>
        <v>381.9500000000001</v>
      </c>
      <c r="X43" s="7"/>
      <c r="Y43" s="7"/>
      <c r="Z43" s="7"/>
      <c r="AA43" s="7"/>
      <c r="AB43" s="126">
        <f>SUM(AB12:AB42)</f>
        <v>36050.549637219679</v>
      </c>
      <c r="AC43" s="7"/>
      <c r="AD43" s="7">
        <f t="shared" ref="AD43:AG43" si="18">SUM(AD12:AD42)</f>
        <v>845.05123042000014</v>
      </c>
      <c r="AE43" s="7">
        <f t="shared" si="18"/>
        <v>12.950913080000051</v>
      </c>
      <c r="AF43" s="7">
        <f t="shared" si="18"/>
        <v>188.32285649999997</v>
      </c>
      <c r="AG43" s="7">
        <f t="shared" si="18"/>
        <v>1046.3250000000003</v>
      </c>
    </row>
  </sheetData>
  <mergeCells count="6">
    <mergeCell ref="C11:E11"/>
    <mergeCell ref="AD9:AG9"/>
    <mergeCell ref="C10:E10"/>
    <mergeCell ref="F9:I9"/>
    <mergeCell ref="K9:V9"/>
    <mergeCell ref="Z9:AB9"/>
  </mergeCells>
  <phoneticPr fontId="8" type="noConversion"/>
  <dataValidations count="3">
    <dataValidation type="list" allowBlank="1" showInputMessage="1" showErrorMessage="1" sqref="F27:F42" xr:uid="{00000000-0002-0000-0300-000000000000}">
      <formula1>$AJ$12:$AJ$14</formula1>
    </dataValidation>
    <dataValidation type="list" allowBlank="1" showInputMessage="1" showErrorMessage="1" sqref="G12:G42" xr:uid="{00000000-0002-0000-0300-000001000000}">
      <formula1>$AL$12:$AL$14</formula1>
    </dataValidation>
    <dataValidation type="list" allowBlank="1" showInputMessage="1" showErrorMessage="1" sqref="F12:F26" xr:uid="{00000000-0002-0000-0300-000002000000}">
      <formula1>$AJ$12:$AJ$13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R38"/>
  <sheetViews>
    <sheetView showGridLines="0" zoomScale="120" zoomScaleNormal="120" workbookViewId="0">
      <selection activeCell="B20" sqref="B20"/>
    </sheetView>
  </sheetViews>
  <sheetFormatPr defaultColWidth="9.1796875" defaultRowHeight="10.5" x14ac:dyDescent="0.25"/>
  <cols>
    <col min="1" max="1" width="4.1796875" style="1" customWidth="1"/>
    <col min="2" max="6" width="9.1796875" style="1"/>
    <col min="7" max="7" width="6" style="1" customWidth="1"/>
    <col min="8" max="11" width="9.1796875" style="1"/>
    <col min="12" max="12" width="4" style="1" customWidth="1"/>
    <col min="13" max="16384" width="9.1796875" style="1"/>
  </cols>
  <sheetData>
    <row r="2" spans="1:18" x14ac:dyDescent="0.25">
      <c r="B2" s="2" t="s">
        <v>156</v>
      </c>
      <c r="M2" s="2" t="s">
        <v>164</v>
      </c>
    </row>
    <row r="3" spans="1:18" x14ac:dyDescent="0.25">
      <c r="A3" s="1">
        <v>1</v>
      </c>
      <c r="B3" s="63" t="s">
        <v>433</v>
      </c>
      <c r="C3" s="64"/>
      <c r="D3" s="64"/>
      <c r="E3" s="64" t="s">
        <v>39</v>
      </c>
      <c r="F3" s="103">
        <v>3298.2</v>
      </c>
      <c r="H3" s="62"/>
      <c r="I3" s="54"/>
      <c r="J3" s="54"/>
      <c r="K3" s="55"/>
      <c r="L3" s="1">
        <v>1</v>
      </c>
      <c r="M3" s="63" t="s">
        <v>165</v>
      </c>
      <c r="N3" s="64"/>
      <c r="O3" s="64"/>
      <c r="P3" s="64" t="s">
        <v>40</v>
      </c>
      <c r="Q3" s="103">
        <v>503.48</v>
      </c>
    </row>
    <row r="4" spans="1:18" x14ac:dyDescent="0.25">
      <c r="A4" s="1">
        <v>2</v>
      </c>
      <c r="B4" s="16" t="s">
        <v>157</v>
      </c>
      <c r="E4" s="1" t="s">
        <v>39</v>
      </c>
      <c r="F4" s="104">
        <f>F10*F3</f>
        <v>329.82</v>
      </c>
      <c r="H4" s="119" t="s">
        <v>162</v>
      </c>
      <c r="I4" s="109"/>
      <c r="J4" s="109"/>
      <c r="K4" s="110"/>
      <c r="L4" s="1">
        <v>2</v>
      </c>
      <c r="M4" s="16" t="s">
        <v>157</v>
      </c>
      <c r="P4" s="1" t="s">
        <v>40</v>
      </c>
      <c r="Q4" s="104">
        <f>Q24+Q30+Q36</f>
        <v>67.806202029737307</v>
      </c>
    </row>
    <row r="5" spans="1:18" x14ac:dyDescent="0.25">
      <c r="A5" s="1">
        <v>3</v>
      </c>
      <c r="B5" s="16" t="s">
        <v>160</v>
      </c>
      <c r="E5" s="1" t="s">
        <v>39</v>
      </c>
      <c r="F5" s="104">
        <f>F3-F4</f>
        <v>2968.3799999999997</v>
      </c>
      <c r="H5" s="119" t="s">
        <v>161</v>
      </c>
      <c r="I5" s="109"/>
      <c r="J5" s="109"/>
      <c r="K5" s="110"/>
      <c r="L5" s="1">
        <v>3</v>
      </c>
      <c r="M5" s="16" t="s">
        <v>166</v>
      </c>
      <c r="P5" s="1" t="s">
        <v>40</v>
      </c>
      <c r="Q5" s="104">
        <f>Q3-Q4</f>
        <v>435.67379797026274</v>
      </c>
    </row>
    <row r="6" spans="1:18" x14ac:dyDescent="0.25">
      <c r="A6" s="1">
        <v>4</v>
      </c>
      <c r="B6" s="16" t="s">
        <v>158</v>
      </c>
      <c r="E6" s="1" t="s">
        <v>39</v>
      </c>
      <c r="F6" s="104">
        <f>F11*F3</f>
        <v>52.130000000000109</v>
      </c>
      <c r="H6" s="119" t="s">
        <v>163</v>
      </c>
      <c r="I6" s="109"/>
      <c r="J6" s="109"/>
      <c r="K6" s="110"/>
      <c r="L6" s="1">
        <v>4</v>
      </c>
      <c r="M6" s="16" t="s">
        <v>158</v>
      </c>
      <c r="P6" s="1" t="s">
        <v>40</v>
      </c>
      <c r="Q6" s="104">
        <f>Q5-Q7</f>
        <v>6.5832865745143181</v>
      </c>
    </row>
    <row r="7" spans="1:18" x14ac:dyDescent="0.25">
      <c r="A7" s="1">
        <v>5</v>
      </c>
      <c r="B7" s="65" t="s">
        <v>159</v>
      </c>
      <c r="C7" s="66"/>
      <c r="D7" s="66"/>
      <c r="E7" s="66" t="s">
        <v>39</v>
      </c>
      <c r="F7" s="105">
        <f>F5-F6</f>
        <v>2916.2499999999995</v>
      </c>
      <c r="H7" s="111"/>
      <c r="I7" s="112"/>
      <c r="J7" s="112"/>
      <c r="K7" s="113"/>
      <c r="L7" s="1">
        <v>5</v>
      </c>
      <c r="M7" s="65" t="s">
        <v>167</v>
      </c>
      <c r="N7" s="66"/>
      <c r="O7" s="66"/>
      <c r="P7" s="66" t="s">
        <v>40</v>
      </c>
      <c r="Q7" s="105">
        <f>Customer!M43</f>
        <v>429.09051139574842</v>
      </c>
    </row>
    <row r="9" spans="1:18" x14ac:dyDescent="0.25">
      <c r="B9" s="2" t="s">
        <v>168</v>
      </c>
      <c r="M9" s="2" t="s">
        <v>172</v>
      </c>
    </row>
    <row r="10" spans="1:18" x14ac:dyDescent="0.25">
      <c r="A10" s="1">
        <v>1</v>
      </c>
      <c r="B10" s="76" t="s">
        <v>169</v>
      </c>
      <c r="C10" s="64"/>
      <c r="D10" s="64"/>
      <c r="E10" s="64"/>
      <c r="F10" s="106">
        <v>0.1</v>
      </c>
      <c r="G10" s="35" t="s">
        <v>171</v>
      </c>
      <c r="L10" s="1">
        <v>1</v>
      </c>
      <c r="M10" s="76" t="s">
        <v>173</v>
      </c>
      <c r="N10" s="64"/>
      <c r="O10" s="64"/>
      <c r="P10" s="64"/>
      <c r="Q10" s="114">
        <f>Q4/Q3</f>
        <v>0.13467506560287856</v>
      </c>
      <c r="R10" s="35" t="s">
        <v>175</v>
      </c>
    </row>
    <row r="11" spans="1:18" x14ac:dyDescent="0.25">
      <c r="A11" s="1">
        <v>2</v>
      </c>
      <c r="B11" s="78" t="s">
        <v>170</v>
      </c>
      <c r="C11" s="66"/>
      <c r="D11" s="66"/>
      <c r="E11" s="66"/>
      <c r="F11" s="108">
        <v>1.5805590928385214E-2</v>
      </c>
      <c r="G11" s="35" t="s">
        <v>171</v>
      </c>
      <c r="L11" s="1">
        <v>2</v>
      </c>
      <c r="M11" s="78" t="s">
        <v>174</v>
      </c>
      <c r="N11" s="66"/>
      <c r="O11" s="66"/>
      <c r="P11" s="66"/>
      <c r="Q11" s="116">
        <f>Q6/Q3</f>
        <v>1.3075567201307535E-2</v>
      </c>
      <c r="R11" s="35" t="s">
        <v>175</v>
      </c>
    </row>
    <row r="13" spans="1:18" x14ac:dyDescent="0.25">
      <c r="B13" s="2" t="s">
        <v>434</v>
      </c>
      <c r="M13" s="2" t="s">
        <v>186</v>
      </c>
    </row>
    <row r="14" spans="1:18" x14ac:dyDescent="0.25">
      <c r="A14" s="1">
        <v>1</v>
      </c>
      <c r="B14" s="76" t="s">
        <v>176</v>
      </c>
      <c r="C14" s="64"/>
      <c r="D14" s="64"/>
      <c r="E14" s="64"/>
      <c r="F14" s="106">
        <v>3.6499999999999998E-2</v>
      </c>
      <c r="G14" s="35" t="s">
        <v>179</v>
      </c>
      <c r="I14" s="297" t="s">
        <v>181</v>
      </c>
      <c r="J14" s="298"/>
      <c r="L14" s="1">
        <v>1</v>
      </c>
      <c r="M14" s="76" t="s">
        <v>435</v>
      </c>
      <c r="N14" s="64"/>
      <c r="O14" s="64"/>
      <c r="P14" s="64"/>
      <c r="Q14" s="114">
        <f>F14*$I$16</f>
        <v>4.1993250000000003E-2</v>
      </c>
      <c r="R14" s="35" t="s">
        <v>175</v>
      </c>
    </row>
    <row r="15" spans="1:18" x14ac:dyDescent="0.25">
      <c r="A15" s="1">
        <v>2</v>
      </c>
      <c r="B15" s="77" t="s">
        <v>177</v>
      </c>
      <c r="F15" s="107">
        <v>0.04</v>
      </c>
      <c r="G15" s="35" t="s">
        <v>179</v>
      </c>
      <c r="I15" s="299" t="s">
        <v>182</v>
      </c>
      <c r="J15" s="300"/>
      <c r="L15" s="1">
        <v>2</v>
      </c>
      <c r="M15" s="77" t="s">
        <v>436</v>
      </c>
      <c r="Q15" s="115">
        <f>F15*$I$16</f>
        <v>4.6020000000000005E-2</v>
      </c>
      <c r="R15" s="35" t="s">
        <v>187</v>
      </c>
    </row>
    <row r="16" spans="1:18" x14ac:dyDescent="0.25">
      <c r="A16" s="1">
        <v>3</v>
      </c>
      <c r="B16" s="78" t="s">
        <v>178</v>
      </c>
      <c r="C16" s="66"/>
      <c r="D16" s="66"/>
      <c r="E16" s="66"/>
      <c r="F16" s="116">
        <f>F36/F35</f>
        <v>8.4611661880368449E-2</v>
      </c>
      <c r="G16" s="35" t="s">
        <v>180</v>
      </c>
      <c r="I16" s="301">
        <v>1.1505000000000001</v>
      </c>
      <c r="J16" s="302"/>
      <c r="L16" s="1">
        <v>3</v>
      </c>
      <c r="M16" s="78" t="s">
        <v>437</v>
      </c>
      <c r="N16" s="66"/>
      <c r="O16" s="66"/>
      <c r="P16" s="66"/>
      <c r="Q16" s="116">
        <f>F16*$I$16</f>
        <v>9.7345716993363904E-2</v>
      </c>
      <c r="R16" s="35" t="s">
        <v>175</v>
      </c>
    </row>
    <row r="17" spans="2:17" x14ac:dyDescent="0.25">
      <c r="G17" s="35"/>
      <c r="I17" s="307" t="s">
        <v>183</v>
      </c>
      <c r="J17" s="308"/>
    </row>
    <row r="18" spans="2:17" x14ac:dyDescent="0.25">
      <c r="I18" s="307" t="s">
        <v>184</v>
      </c>
      <c r="J18" s="308"/>
    </row>
    <row r="19" spans="2:17" x14ac:dyDescent="0.25">
      <c r="I19" s="307"/>
      <c r="J19" s="308"/>
    </row>
    <row r="20" spans="2:17" x14ac:dyDescent="0.25">
      <c r="B20" s="2" t="s">
        <v>456</v>
      </c>
      <c r="F20" s="5" t="s">
        <v>39</v>
      </c>
      <c r="I20" s="305" t="s">
        <v>185</v>
      </c>
      <c r="J20" s="306"/>
      <c r="M20" s="2" t="s">
        <v>197</v>
      </c>
      <c r="Q20" s="5" t="s">
        <v>40</v>
      </c>
    </row>
    <row r="21" spans="2:17" x14ac:dyDescent="0.25">
      <c r="B21" s="63"/>
      <c r="C21" s="64"/>
      <c r="D21" s="64"/>
      <c r="E21" s="64"/>
      <c r="F21" s="40"/>
      <c r="I21" s="303">
        <f>ABS(SUM(Q25,Q31,Q37)-Customer!R43)</f>
        <v>0.13805236917181674</v>
      </c>
      <c r="J21" s="304"/>
      <c r="M21" s="63"/>
      <c r="N21" s="64"/>
      <c r="O21" s="64"/>
      <c r="P21" s="64"/>
      <c r="Q21" s="40"/>
    </row>
    <row r="22" spans="2:17" x14ac:dyDescent="0.25">
      <c r="B22" s="117" t="s">
        <v>198</v>
      </c>
      <c r="F22" s="18"/>
      <c r="M22" s="117" t="s">
        <v>199</v>
      </c>
      <c r="Q22" s="18"/>
    </row>
    <row r="23" spans="2:17" x14ac:dyDescent="0.25">
      <c r="B23" s="118" t="s">
        <v>188</v>
      </c>
      <c r="F23" s="104">
        <f>$F$3</f>
        <v>3298.2</v>
      </c>
      <c r="M23" s="118" t="s">
        <v>188</v>
      </c>
      <c r="Q23" s="104">
        <f>Q3</f>
        <v>503.48</v>
      </c>
    </row>
    <row r="24" spans="2:17" x14ac:dyDescent="0.25">
      <c r="B24" s="118" t="s">
        <v>189</v>
      </c>
      <c r="F24" s="104">
        <f>$F$14*F23</f>
        <v>120.38429999999998</v>
      </c>
      <c r="M24" s="118" t="s">
        <v>200</v>
      </c>
      <c r="Q24" s="104">
        <f>$Q$14*Q23</f>
        <v>21.142761510000003</v>
      </c>
    </row>
    <row r="25" spans="2:17" x14ac:dyDescent="0.25">
      <c r="B25" s="118" t="s">
        <v>192</v>
      </c>
      <c r="F25" s="104">
        <f>SUMIF(Customer!$G$12:$G$42,"HV",Customer!$P$12:$P$42)</f>
        <v>1083.303552034185</v>
      </c>
      <c r="M25" s="118" t="s">
        <v>438</v>
      </c>
      <c r="Q25" s="104">
        <f>SUMIF(Customer!$G$12:$G$42,"HV",Customer!$R$12:$R$42)</f>
        <v>128.18911059542506</v>
      </c>
    </row>
    <row r="26" spans="2:17" x14ac:dyDescent="0.25">
      <c r="B26" s="118" t="s">
        <v>194</v>
      </c>
      <c r="F26" s="104">
        <f>F23-F24-F25</f>
        <v>2094.5121479658146</v>
      </c>
      <c r="M26" s="118" t="s">
        <v>201</v>
      </c>
      <c r="Q26" s="104">
        <f>Q23-Q24-Q25</f>
        <v>354.14812789457494</v>
      </c>
    </row>
    <row r="27" spans="2:17" x14ac:dyDescent="0.25">
      <c r="B27" s="16"/>
      <c r="F27" s="18"/>
      <c r="M27" s="16"/>
      <c r="Q27" s="18"/>
    </row>
    <row r="28" spans="2:17" x14ac:dyDescent="0.25">
      <c r="B28" s="117" t="s">
        <v>190</v>
      </c>
      <c r="F28" s="18"/>
      <c r="M28" s="117" t="s">
        <v>202</v>
      </c>
      <c r="Q28" s="18"/>
    </row>
    <row r="29" spans="2:17" x14ac:dyDescent="0.25">
      <c r="B29" s="118" t="s">
        <v>188</v>
      </c>
      <c r="F29" s="104">
        <f>F26</f>
        <v>2094.5121479658146</v>
      </c>
      <c r="M29" s="118" t="s">
        <v>188</v>
      </c>
      <c r="Q29" s="104">
        <f>Q26</f>
        <v>354.14812789457494</v>
      </c>
    </row>
    <row r="30" spans="2:17" x14ac:dyDescent="0.25">
      <c r="B30" s="118" t="s">
        <v>191</v>
      </c>
      <c r="F30" s="104">
        <f>$F$15*F29</f>
        <v>83.780485918632593</v>
      </c>
      <c r="M30" s="118" t="s">
        <v>189</v>
      </c>
      <c r="Q30" s="104">
        <f>$Q$15*Q29</f>
        <v>16.29789684570834</v>
      </c>
    </row>
    <row r="31" spans="2:17" x14ac:dyDescent="0.25">
      <c r="B31" s="118" t="s">
        <v>193</v>
      </c>
      <c r="F31" s="104">
        <f>SUMIF(Customer!$G$12:$G$42,"MV",Customer!$P$12:$P$42)</f>
        <v>525.65015804564962</v>
      </c>
      <c r="M31" s="118" t="s">
        <v>193</v>
      </c>
      <c r="Q31" s="104">
        <f>SUMIF(Customer!$G$12:$G$42,"MV",Customer!$R$12:$R$42)</f>
        <v>25.915154582184542</v>
      </c>
    </row>
    <row r="32" spans="2:17" x14ac:dyDescent="0.25">
      <c r="B32" s="118" t="s">
        <v>195</v>
      </c>
      <c r="F32" s="104">
        <f>F29-F30-F31</f>
        <v>1485.0815040015323</v>
      </c>
      <c r="M32" s="118" t="s">
        <v>195</v>
      </c>
      <c r="Q32" s="104">
        <f>Q29-Q30-Q31</f>
        <v>311.93507646668206</v>
      </c>
    </row>
    <row r="33" spans="2:17" x14ac:dyDescent="0.25">
      <c r="B33" s="16"/>
      <c r="F33" s="18"/>
      <c r="M33" s="16"/>
      <c r="Q33" s="18"/>
    </row>
    <row r="34" spans="2:17" x14ac:dyDescent="0.25">
      <c r="B34" s="117" t="s">
        <v>196</v>
      </c>
      <c r="F34" s="18"/>
      <c r="M34" s="117" t="s">
        <v>196</v>
      </c>
      <c r="Q34" s="18"/>
    </row>
    <row r="35" spans="2:17" x14ac:dyDescent="0.25">
      <c r="B35" s="118" t="s">
        <v>188</v>
      </c>
      <c r="F35" s="104">
        <f>F32</f>
        <v>1485.0815040015323</v>
      </c>
      <c r="M35" s="118" t="s">
        <v>188</v>
      </c>
      <c r="Q35" s="104">
        <f>Q32</f>
        <v>311.93507646668206</v>
      </c>
    </row>
    <row r="36" spans="2:17" x14ac:dyDescent="0.25">
      <c r="B36" s="118" t="s">
        <v>189</v>
      </c>
      <c r="F36" s="104">
        <f>F35-F37</f>
        <v>125.65521408136669</v>
      </c>
      <c r="G36" s="35"/>
      <c r="M36" s="118" t="s">
        <v>189</v>
      </c>
      <c r="Q36" s="104">
        <f>Q35*$Q$16</f>
        <v>30.365543674028959</v>
      </c>
    </row>
    <row r="37" spans="2:17" x14ac:dyDescent="0.25">
      <c r="B37" s="118" t="s">
        <v>203</v>
      </c>
      <c r="F37" s="104">
        <f>SUMIF(Customer!$G$12:$G$42,"LV",Customer!$P$12:$P$42)</f>
        <v>1359.4262899201656</v>
      </c>
      <c r="M37" s="118" t="s">
        <v>203</v>
      </c>
      <c r="Q37" s="104">
        <f>Q35-Q36</f>
        <v>281.56953279265309</v>
      </c>
    </row>
    <row r="38" spans="2:17" x14ac:dyDescent="0.25">
      <c r="B38" s="65"/>
      <c r="C38" s="66"/>
      <c r="D38" s="66"/>
      <c r="E38" s="66"/>
      <c r="F38" s="45"/>
      <c r="M38" s="65"/>
      <c r="N38" s="66"/>
      <c r="O38" s="66"/>
      <c r="P38" s="66"/>
      <c r="Q38" s="45"/>
    </row>
  </sheetData>
  <mergeCells count="8">
    <mergeCell ref="I14:J14"/>
    <mergeCell ref="I15:J15"/>
    <mergeCell ref="I16:J16"/>
    <mergeCell ref="I21:J21"/>
    <mergeCell ref="I20:J20"/>
    <mergeCell ref="I17:J17"/>
    <mergeCell ref="I18:J18"/>
    <mergeCell ref="I19:J1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70" workbookViewId="0"/>
  </sheetViews>
  <sheetFormatPr defaultColWidth="10.90625"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V52"/>
  <sheetViews>
    <sheetView showGridLines="0" zoomScale="120" zoomScaleNormal="120" workbookViewId="0">
      <pane xSplit="4" topLeftCell="E1" activePane="topRight" state="frozen"/>
      <selection pane="topRight" activeCell="F14" sqref="F14"/>
    </sheetView>
  </sheetViews>
  <sheetFormatPr defaultColWidth="9.1796875" defaultRowHeight="10.5" x14ac:dyDescent="0.25"/>
  <cols>
    <col min="1" max="1" width="5.1796875" style="1" customWidth="1"/>
    <col min="2" max="14" width="9.1796875" style="1"/>
    <col min="15" max="15" width="9.1796875" style="42"/>
    <col min="16" max="17" width="9.1796875" style="1"/>
    <col min="18" max="20" width="10.26953125" style="1" customWidth="1"/>
    <col min="21" max="21" width="10.26953125" style="1" hidden="1" customWidth="1"/>
    <col min="22" max="22" width="10.26953125" style="1" customWidth="1"/>
    <col min="23" max="16384" width="9.1796875" style="1"/>
  </cols>
  <sheetData>
    <row r="2" spans="1:22" x14ac:dyDescent="0.25">
      <c r="H2" s="4" t="s">
        <v>443</v>
      </c>
    </row>
    <row r="3" spans="1:22" ht="12.5" x14ac:dyDescent="0.3">
      <c r="H3" s="5" t="s">
        <v>2</v>
      </c>
    </row>
    <row r="4" spans="1:22" ht="12.5" x14ac:dyDescent="0.3">
      <c r="H4" s="5" t="s">
        <v>117</v>
      </c>
    </row>
    <row r="6" spans="1:22" x14ac:dyDescent="0.25">
      <c r="A6" s="35"/>
      <c r="B6" s="142" t="s">
        <v>54</v>
      </c>
    </row>
    <row r="7" spans="1:22" x14ac:dyDescent="0.25">
      <c r="A7" s="35">
        <v>1</v>
      </c>
      <c r="B7" s="35" t="s">
        <v>204</v>
      </c>
    </row>
    <row r="8" spans="1:22" x14ac:dyDescent="0.25">
      <c r="A8" s="35">
        <v>2</v>
      </c>
      <c r="B8" s="35" t="s">
        <v>439</v>
      </c>
    </row>
    <row r="9" spans="1:22" x14ac:dyDescent="0.25">
      <c r="A9" s="35"/>
      <c r="B9" s="35" t="s">
        <v>205</v>
      </c>
    </row>
    <row r="10" spans="1:22" x14ac:dyDescent="0.25">
      <c r="A10" s="35">
        <v>3</v>
      </c>
      <c r="B10" s="35" t="s">
        <v>206</v>
      </c>
    </row>
    <row r="12" spans="1:22" s="191" customFormat="1" ht="24" customHeight="1" x14ac:dyDescent="0.35">
      <c r="B12" s="323" t="s">
        <v>207</v>
      </c>
      <c r="C12" s="322"/>
      <c r="D12" s="324"/>
      <c r="E12" s="319" t="s">
        <v>208</v>
      </c>
      <c r="F12" s="320"/>
      <c r="G12" s="320"/>
      <c r="H12" s="320"/>
      <c r="I12" s="320"/>
      <c r="J12" s="320"/>
      <c r="K12" s="320"/>
      <c r="L12" s="320"/>
      <c r="M12" s="321"/>
      <c r="N12" s="319" t="s">
        <v>440</v>
      </c>
      <c r="O12" s="320"/>
      <c r="P12" s="320"/>
      <c r="Q12" s="321"/>
      <c r="R12" s="314" t="s">
        <v>441</v>
      </c>
      <c r="S12" s="315"/>
      <c r="T12" s="316"/>
      <c r="U12" s="309" t="s">
        <v>59</v>
      </c>
    </row>
    <row r="13" spans="1:22" s="91" customFormat="1" ht="21" x14ac:dyDescent="0.35">
      <c r="B13" s="295"/>
      <c r="C13" s="296"/>
      <c r="D13" s="312"/>
      <c r="E13" s="317" t="s">
        <v>209</v>
      </c>
      <c r="F13" s="322" t="s">
        <v>210</v>
      </c>
      <c r="G13" s="322"/>
      <c r="H13" s="322" t="s">
        <v>212</v>
      </c>
      <c r="I13" s="322"/>
      <c r="J13" s="322" t="s">
        <v>214</v>
      </c>
      <c r="K13" s="322" t="s">
        <v>215</v>
      </c>
      <c r="L13" s="322"/>
      <c r="M13" s="317" t="s">
        <v>217</v>
      </c>
      <c r="N13" s="317" t="s">
        <v>218</v>
      </c>
      <c r="O13" s="322" t="s">
        <v>219</v>
      </c>
      <c r="P13" s="322"/>
      <c r="Q13" s="317" t="s">
        <v>221</v>
      </c>
      <c r="R13" s="130" t="s">
        <v>56</v>
      </c>
      <c r="S13" s="91" t="s">
        <v>222</v>
      </c>
      <c r="T13" s="312" t="s">
        <v>224</v>
      </c>
      <c r="U13" s="310"/>
    </row>
    <row r="14" spans="1:22" s="94" customFormat="1" ht="31.5" x14ac:dyDescent="0.35">
      <c r="B14" s="325"/>
      <c r="C14" s="326"/>
      <c r="D14" s="313"/>
      <c r="E14" s="318"/>
      <c r="F14" s="95" t="s">
        <v>216</v>
      </c>
      <c r="G14" s="95" t="s">
        <v>211</v>
      </c>
      <c r="H14" s="291" t="s">
        <v>213</v>
      </c>
      <c r="I14" s="291"/>
      <c r="J14" s="326"/>
      <c r="K14" s="95" t="s">
        <v>216</v>
      </c>
      <c r="L14" s="95" t="s">
        <v>211</v>
      </c>
      <c r="M14" s="318"/>
      <c r="N14" s="318"/>
      <c r="O14" s="291" t="s">
        <v>220</v>
      </c>
      <c r="P14" s="291" t="s">
        <v>53</v>
      </c>
      <c r="Q14" s="318"/>
      <c r="R14" s="156" t="s">
        <v>220</v>
      </c>
      <c r="S14" s="95" t="s">
        <v>223</v>
      </c>
      <c r="T14" s="313"/>
      <c r="U14" s="311"/>
    </row>
    <row r="15" spans="1:22" s="94" customFormat="1" x14ac:dyDescent="0.35">
      <c r="B15" s="144"/>
      <c r="E15" s="144"/>
      <c r="M15" s="145"/>
      <c r="N15" s="144"/>
      <c r="O15" s="159"/>
      <c r="Q15" s="160"/>
      <c r="R15" s="144"/>
      <c r="T15" s="160"/>
      <c r="U15" s="160"/>
    </row>
    <row r="16" spans="1:22" x14ac:dyDescent="0.25">
      <c r="B16" s="146" t="s">
        <v>225</v>
      </c>
      <c r="E16" s="16"/>
      <c r="F16" s="147">
        <v>0.39</v>
      </c>
      <c r="G16" s="138">
        <f>F16*$E$44</f>
        <v>2779.0725300000004</v>
      </c>
      <c r="H16" s="157">
        <f>G16/SUM($G$17,$G$21,$G$26,$G$31,$G$36,$G$41)</f>
        <v>0.39000000000000007</v>
      </c>
      <c r="I16" s="138">
        <f>H16*SUM($E$45,$E$46)</f>
        <v>190.35744000000003</v>
      </c>
      <c r="J16" s="138">
        <f>G16+I16</f>
        <v>2969.4299700000006</v>
      </c>
      <c r="K16" s="147">
        <v>0</v>
      </c>
      <c r="L16" s="138">
        <f>$E$48*K16</f>
        <v>0</v>
      </c>
      <c r="M16" s="148">
        <f>E16+G16+I16+L16</f>
        <v>2969.4299700000006</v>
      </c>
      <c r="N16" s="16"/>
      <c r="O16" s="157">
        <f>M16/$M$50</f>
        <v>0.4572176350389876</v>
      </c>
      <c r="P16" s="138">
        <f>O16*$N$50</f>
        <v>1462.4870140320929</v>
      </c>
      <c r="Q16" s="148">
        <f>M16-P16</f>
        <v>1506.9429559679077</v>
      </c>
      <c r="R16" s="138">
        <f>RR!$G$59*Assets!M16/Assets!$M$50</f>
        <v>680.08242740948651</v>
      </c>
      <c r="S16" s="138">
        <f>RR!$G$60*Expenses!O14/Expenses!$O$66</f>
        <v>48.65242257926846</v>
      </c>
      <c r="T16" s="148">
        <f>Q16+R16+S16</f>
        <v>2235.6778059566627</v>
      </c>
      <c r="U16" s="148">
        <f>T16</f>
        <v>2235.6778059566627</v>
      </c>
      <c r="V16" s="138"/>
    </row>
    <row r="17" spans="2:22" x14ac:dyDescent="0.25">
      <c r="B17" s="16"/>
      <c r="D17" s="120" t="s">
        <v>226</v>
      </c>
      <c r="E17" s="150"/>
      <c r="F17" s="139"/>
      <c r="G17" s="140">
        <f>SUM(G16)</f>
        <v>2779.0725300000004</v>
      </c>
      <c r="H17" s="158"/>
      <c r="I17" s="140">
        <f>SUM(I16)</f>
        <v>190.35744000000003</v>
      </c>
      <c r="J17" s="140">
        <f>SUM(J16)</f>
        <v>2969.4299700000006</v>
      </c>
      <c r="K17" s="139"/>
      <c r="L17" s="140">
        <f>SUM(L16)</f>
        <v>0</v>
      </c>
      <c r="M17" s="149">
        <f>SUM(M16)</f>
        <v>2969.4299700000006</v>
      </c>
      <c r="N17" s="150"/>
      <c r="O17" s="158"/>
      <c r="P17" s="140">
        <f t="shared" ref="P17:U17" si="0">SUM(P16)</f>
        <v>1462.4870140320929</v>
      </c>
      <c r="Q17" s="149">
        <f t="shared" si="0"/>
        <v>1506.9429559679077</v>
      </c>
      <c r="R17" s="140">
        <f t="shared" si="0"/>
        <v>680.08242740948651</v>
      </c>
      <c r="S17" s="140">
        <f t="shared" si="0"/>
        <v>48.65242257926846</v>
      </c>
      <c r="T17" s="149">
        <f t="shared" si="0"/>
        <v>2235.6778059566627</v>
      </c>
      <c r="U17" s="149">
        <f t="shared" si="0"/>
        <v>2235.6778059566627</v>
      </c>
      <c r="V17" s="138"/>
    </row>
    <row r="18" spans="2:22" x14ac:dyDescent="0.25">
      <c r="B18" s="117" t="s">
        <v>227</v>
      </c>
      <c r="E18" s="16"/>
      <c r="H18" s="42"/>
      <c r="M18" s="18"/>
      <c r="N18" s="16"/>
      <c r="Q18" s="18"/>
      <c r="T18" s="18"/>
      <c r="U18" s="18"/>
    </row>
    <row r="19" spans="2:22" x14ac:dyDescent="0.25">
      <c r="B19" s="118" t="s">
        <v>78</v>
      </c>
      <c r="E19" s="151"/>
      <c r="F19" s="147">
        <v>0.31</v>
      </c>
      <c r="G19" s="138">
        <f>F19*$E$44</f>
        <v>2209.0063700000001</v>
      </c>
      <c r="H19" s="157">
        <f t="shared" ref="H19:H20" si="1">G19/SUM($G$17,$G$21,$G$26,$G$31,$G$36,$G$41)</f>
        <v>0.31000000000000005</v>
      </c>
      <c r="I19" s="138">
        <f t="shared" ref="I19:I20" si="2">H19*SUM($E$45,$E$46)</f>
        <v>151.30976000000004</v>
      </c>
      <c r="J19" s="138">
        <f t="shared" ref="J19:J20" si="3">G19+I19</f>
        <v>2360.3161300000002</v>
      </c>
      <c r="K19" s="147">
        <v>0</v>
      </c>
      <c r="L19" s="138">
        <f>$E$48*K19</f>
        <v>0</v>
      </c>
      <c r="M19" s="148">
        <f t="shared" ref="M19:M20" si="4">E19+G19+I19+L19</f>
        <v>2360.3161300000002</v>
      </c>
      <c r="N19" s="16"/>
      <c r="O19" s="157">
        <f t="shared" ref="O19:O20" si="5">M19/$M$50</f>
        <v>0.36342940221047726</v>
      </c>
      <c r="P19" s="138">
        <f t="shared" ref="P19:P20" si="6">O19*$N$50</f>
        <v>1162.4896778203813</v>
      </c>
      <c r="Q19" s="148">
        <f t="shared" ref="Q19:Q20" si="7">M19-P19</f>
        <v>1197.8264521796189</v>
      </c>
      <c r="R19" s="138">
        <f>RR!$G$59*Assets!M19/Assets!$M$50</f>
        <v>540.57833973574566</v>
      </c>
      <c r="S19" s="138">
        <f>RR!$G$60*Expenses!$O$19/Expenses!$O$66*J19/$J$21</f>
        <v>41.806009326910228</v>
      </c>
      <c r="T19" s="148">
        <f t="shared" ref="T19:T20" si="8">Q19+R19+S19</f>
        <v>1780.2108012422748</v>
      </c>
      <c r="U19" s="148">
        <f>V.Realloc!K27</f>
        <v>527.84913441994649</v>
      </c>
      <c r="V19" s="138"/>
    </row>
    <row r="20" spans="2:22" x14ac:dyDescent="0.25">
      <c r="B20" s="118" t="s">
        <v>72</v>
      </c>
      <c r="E20" s="152"/>
      <c r="F20" s="147">
        <v>1E-3</v>
      </c>
      <c r="G20" s="138">
        <f>F20*$E$44</f>
        <v>7.1258270000000001</v>
      </c>
      <c r="H20" s="157">
        <f t="shared" si="1"/>
        <v>1E-3</v>
      </c>
      <c r="I20" s="138">
        <f t="shared" si="2"/>
        <v>0.48809600000000003</v>
      </c>
      <c r="J20" s="138">
        <f t="shared" si="3"/>
        <v>7.6139229999999998</v>
      </c>
      <c r="K20" s="147">
        <v>0</v>
      </c>
      <c r="L20" s="138">
        <f>$E$48*K20</f>
        <v>0</v>
      </c>
      <c r="M20" s="148">
        <f t="shared" si="4"/>
        <v>7.6139229999999998</v>
      </c>
      <c r="N20" s="16"/>
      <c r="O20" s="157">
        <f t="shared" si="5"/>
        <v>1.1723529103563782E-3</v>
      </c>
      <c r="P20" s="138">
        <f t="shared" si="6"/>
        <v>3.749966702646391</v>
      </c>
      <c r="Q20" s="148">
        <f t="shared" si="7"/>
        <v>3.8639562973536088</v>
      </c>
      <c r="R20" s="138">
        <f>RR!$G$59*Assets!M20/Assets!$M$50</f>
        <v>1.74380109592176</v>
      </c>
      <c r="S20" s="138">
        <f>RR!$G$60*Expenses!$O$19/Expenses!$O$66*J20/$J$21</f>
        <v>0.13485809460293621</v>
      </c>
      <c r="T20" s="148">
        <f t="shared" si="8"/>
        <v>5.7426154878783056</v>
      </c>
      <c r="U20" s="148">
        <f>T20</f>
        <v>5.7426154878783056</v>
      </c>
      <c r="V20" s="138"/>
    </row>
    <row r="21" spans="2:22" x14ac:dyDescent="0.25">
      <c r="B21" s="16"/>
      <c r="D21" s="120" t="s">
        <v>226</v>
      </c>
      <c r="E21" s="150"/>
      <c r="F21" s="139"/>
      <c r="G21" s="140">
        <f>SUM(G19:G20)</f>
        <v>2216.1321969999999</v>
      </c>
      <c r="H21" s="158"/>
      <c r="I21" s="140">
        <f>SUM(I19:I20)</f>
        <v>151.79785600000005</v>
      </c>
      <c r="J21" s="140">
        <f>SUM(J19:J20)</f>
        <v>2367.930053</v>
      </c>
      <c r="K21" s="139"/>
      <c r="L21" s="140">
        <f>SUM(L19:L20)</f>
        <v>0</v>
      </c>
      <c r="M21" s="149">
        <f>SUM(M19:M20)</f>
        <v>2367.930053</v>
      </c>
      <c r="N21" s="150"/>
      <c r="O21" s="158"/>
      <c r="P21" s="140">
        <f t="shared" ref="P21:U21" si="9">SUM(P19:P20)</f>
        <v>1166.2396445230277</v>
      </c>
      <c r="Q21" s="149">
        <f t="shared" si="9"/>
        <v>1201.6904084769724</v>
      </c>
      <c r="R21" s="140">
        <f t="shared" si="9"/>
        <v>542.32214083166741</v>
      </c>
      <c r="S21" s="140">
        <f t="shared" si="9"/>
        <v>41.940867421513161</v>
      </c>
      <c r="T21" s="149">
        <f t="shared" si="9"/>
        <v>1785.9534167301531</v>
      </c>
      <c r="U21" s="149">
        <f t="shared" si="9"/>
        <v>533.59174990782481</v>
      </c>
      <c r="V21" s="138"/>
    </row>
    <row r="22" spans="2:22" x14ac:dyDescent="0.25">
      <c r="B22" s="16"/>
      <c r="E22" s="16"/>
      <c r="H22" s="42"/>
      <c r="M22" s="18"/>
      <c r="N22" s="16"/>
      <c r="Q22" s="18"/>
      <c r="T22" s="18"/>
      <c r="U22" s="18"/>
    </row>
    <row r="23" spans="2:22" x14ac:dyDescent="0.25">
      <c r="B23" s="117" t="s">
        <v>229</v>
      </c>
      <c r="E23" s="16"/>
      <c r="H23" s="42"/>
      <c r="M23" s="18"/>
      <c r="N23" s="16"/>
      <c r="Q23" s="18"/>
      <c r="T23" s="18"/>
      <c r="U23" s="18"/>
    </row>
    <row r="24" spans="2:22" x14ac:dyDescent="0.25">
      <c r="B24" s="118" t="s">
        <v>228</v>
      </c>
      <c r="E24" s="151"/>
      <c r="F24" s="147">
        <v>0.1</v>
      </c>
      <c r="G24" s="138">
        <f>F24*$E$44</f>
        <v>712.58270000000005</v>
      </c>
      <c r="H24" s="157">
        <f t="shared" ref="H24:H25" si="10">G24/SUM($G$17,$G$21,$G$26,$G$31,$G$36,$G$41)</f>
        <v>0.10000000000000002</v>
      </c>
      <c r="I24" s="138">
        <f t="shared" ref="I24:I25" si="11">H24*SUM($E$45,$E$46)</f>
        <v>48.80960000000001</v>
      </c>
      <c r="J24" s="138">
        <f t="shared" ref="J24:J25" si="12">G24+I24</f>
        <v>761.39230000000009</v>
      </c>
      <c r="K24" s="147">
        <v>0.42</v>
      </c>
      <c r="L24" s="138">
        <f>$E$48*K24</f>
        <v>-470.13006596263762</v>
      </c>
      <c r="M24" s="148">
        <f t="shared" ref="M24:M25" si="13">E24+G24+I24+L24</f>
        <v>291.26223403736248</v>
      </c>
      <c r="N24" s="16"/>
      <c r="O24" s="157">
        <f t="shared" ref="O24:O25" si="14">M24/$M$50</f>
        <v>4.4847068685958932E-2</v>
      </c>
      <c r="P24" s="138">
        <f t="shared" ref="P24:P25" si="15">O24*$N$50</f>
        <v>143.45084385257243</v>
      </c>
      <c r="Q24" s="148">
        <f t="shared" ref="Q24:Q25" si="16">M24-P24</f>
        <v>147.81139018479004</v>
      </c>
      <c r="R24" s="138">
        <f>RR!$G$59*Assets!M24/Assets!$M$50</f>
        <v>66.707189305036692</v>
      </c>
      <c r="S24" s="138">
        <f>RR!$G$60*Expenses!$O$25/Expenses!$O$66*J24/$J$26</f>
        <v>2.5633788805786524</v>
      </c>
      <c r="T24" s="148">
        <f t="shared" ref="T24:T25" si="17">Q24+R24+S24</f>
        <v>217.08195837040537</v>
      </c>
      <c r="U24" s="148">
        <f>V.Realloc!$K$28*Assets!T24/(Assets!T24+Assets!T29)</f>
        <v>29.257363213506821</v>
      </c>
      <c r="V24" s="138"/>
    </row>
    <row r="25" spans="2:22" x14ac:dyDescent="0.25">
      <c r="B25" s="118" t="s">
        <v>72</v>
      </c>
      <c r="E25" s="152"/>
      <c r="F25" s="147">
        <v>0.02</v>
      </c>
      <c r="G25" s="138">
        <f>F25*$E$44</f>
        <v>142.51654000000002</v>
      </c>
      <c r="H25" s="157">
        <f t="shared" si="10"/>
        <v>2.0000000000000004E-2</v>
      </c>
      <c r="I25" s="138">
        <f t="shared" si="11"/>
        <v>9.7619200000000017</v>
      </c>
      <c r="J25" s="138">
        <f t="shared" si="12"/>
        <v>152.27846000000002</v>
      </c>
      <c r="K25" s="147">
        <v>0.1</v>
      </c>
      <c r="L25" s="138">
        <f>$E$48*K25</f>
        <v>-111.93572999110421</v>
      </c>
      <c r="M25" s="148">
        <f t="shared" si="13"/>
        <v>40.342730008895813</v>
      </c>
      <c r="N25" s="16"/>
      <c r="O25" s="157">
        <f t="shared" si="14"/>
        <v>6.2117671714897304E-3</v>
      </c>
      <c r="P25" s="138">
        <f t="shared" si="15"/>
        <v>19.869375383388125</v>
      </c>
      <c r="Q25" s="148">
        <f t="shared" si="16"/>
        <v>20.473354625507689</v>
      </c>
      <c r="R25" s="138">
        <f>RR!$G$59*Assets!M25/Assets!$M$50</f>
        <v>9.2396123262591701</v>
      </c>
      <c r="S25" s="138">
        <f>RR!$G$60*Expenses!$O$25/Expenses!$O$66*J25/$J$26</f>
        <v>0.51267577611573045</v>
      </c>
      <c r="T25" s="148">
        <f t="shared" si="17"/>
        <v>30.22564272788259</v>
      </c>
      <c r="U25" s="148">
        <f>T25</f>
        <v>30.22564272788259</v>
      </c>
      <c r="V25" s="138"/>
    </row>
    <row r="26" spans="2:22" x14ac:dyDescent="0.25">
      <c r="B26" s="16"/>
      <c r="D26" s="120" t="s">
        <v>226</v>
      </c>
      <c r="E26" s="150"/>
      <c r="F26" s="139"/>
      <c r="G26" s="140">
        <f>SUM(G24:G25)</f>
        <v>855.09924000000001</v>
      </c>
      <c r="H26" s="139"/>
      <c r="I26" s="140">
        <f>SUM(I24:I25)</f>
        <v>58.571520000000014</v>
      </c>
      <c r="J26" s="140">
        <f>SUM(J24:J25)</f>
        <v>913.67076000000009</v>
      </c>
      <c r="K26" s="139"/>
      <c r="L26" s="140">
        <f>SUM(L24:L25)</f>
        <v>-582.06579595374183</v>
      </c>
      <c r="M26" s="149">
        <f>SUM(M24:M25)</f>
        <v>331.60496404625826</v>
      </c>
      <c r="N26" s="150"/>
      <c r="O26" s="158"/>
      <c r="P26" s="140">
        <f t="shared" ref="P26:U26" si="18">SUM(P24:P25)</f>
        <v>163.32021923596056</v>
      </c>
      <c r="Q26" s="149">
        <f t="shared" si="18"/>
        <v>168.28474481029772</v>
      </c>
      <c r="R26" s="140">
        <f t="shared" si="18"/>
        <v>75.94680163129587</v>
      </c>
      <c r="S26" s="140">
        <f t="shared" si="18"/>
        <v>3.0760546566943829</v>
      </c>
      <c r="T26" s="149">
        <f t="shared" si="18"/>
        <v>247.30760109828796</v>
      </c>
      <c r="U26" s="149">
        <f t="shared" si="18"/>
        <v>59.483005941389408</v>
      </c>
      <c r="V26" s="138"/>
    </row>
    <row r="27" spans="2:22" x14ac:dyDescent="0.25">
      <c r="B27" s="16"/>
      <c r="E27" s="16"/>
      <c r="M27" s="18"/>
      <c r="N27" s="16"/>
      <c r="Q27" s="18"/>
      <c r="T27" s="18"/>
      <c r="U27" s="18"/>
    </row>
    <row r="28" spans="2:22" x14ac:dyDescent="0.25">
      <c r="B28" s="117" t="s">
        <v>230</v>
      </c>
      <c r="E28" s="16"/>
      <c r="M28" s="18"/>
      <c r="N28" s="16"/>
      <c r="Q28" s="18"/>
      <c r="T28" s="18"/>
      <c r="U28" s="18"/>
    </row>
    <row r="29" spans="2:22" x14ac:dyDescent="0.25">
      <c r="B29" s="118" t="s">
        <v>78</v>
      </c>
      <c r="E29" s="151"/>
      <c r="F29" s="147">
        <v>0.12</v>
      </c>
      <c r="G29" s="138">
        <f t="shared" ref="G29:G30" si="19">F29*$E$44</f>
        <v>855.09924000000001</v>
      </c>
      <c r="H29" s="157">
        <f t="shared" ref="H29:H30" si="20">G29/SUM($G$17,$G$21,$G$26,$G$31,$G$36,$G$41)</f>
        <v>0.12000000000000001</v>
      </c>
      <c r="I29" s="138">
        <f t="shared" ref="I29:I30" si="21">H29*SUM($E$45,$E$46)</f>
        <v>58.571520000000007</v>
      </c>
      <c r="J29" s="138">
        <f t="shared" ref="J29:J30" si="22">G29+I29</f>
        <v>913.67075999999997</v>
      </c>
      <c r="K29" s="147">
        <v>0.14000000000000001</v>
      </c>
      <c r="L29" s="138">
        <f>$E$48*K29</f>
        <v>-156.7100219875459</v>
      </c>
      <c r="M29" s="148">
        <f t="shared" ref="M29:M30" si="23">E29+G29+I29+L29</f>
        <v>756.96073801245404</v>
      </c>
      <c r="N29" s="16"/>
      <c r="O29" s="157">
        <f t="shared" ref="O29:O30" si="24">M29/$M$50</f>
        <v>0.11655294179287241</v>
      </c>
      <c r="P29" s="138">
        <f t="shared" ref="P29:P30" si="25">O29*$N$50</f>
        <v>372.81406218021135</v>
      </c>
      <c r="Q29" s="148">
        <f t="shared" ref="Q29:Q30" si="26">M29-P29</f>
        <v>384.14667583224269</v>
      </c>
      <c r="R29" s="138">
        <f>RR!$G$59*Assets!M29/Assets!$M$50</f>
        <v>173.36515808156472</v>
      </c>
      <c r="S29" s="138">
        <f>RR!$G$60*Expenses!$O$31/Expenses!$O$66*J29/$J$31</f>
        <v>4.2510221276849647</v>
      </c>
      <c r="T29" s="148">
        <f t="shared" ref="T29:T30" si="27">Q29+R29+S29</f>
        <v>561.76285604149246</v>
      </c>
      <c r="U29" s="148">
        <f>V.Realloc!$K$28*Assets!T29/(Assets!T24+Assets!T29)</f>
        <v>75.711957098796645</v>
      </c>
      <c r="V29" s="138"/>
    </row>
    <row r="30" spans="2:22" x14ac:dyDescent="0.25">
      <c r="B30" s="118" t="s">
        <v>72</v>
      </c>
      <c r="E30" s="152"/>
      <c r="F30" s="147">
        <v>0</v>
      </c>
      <c r="G30" s="138">
        <f t="shared" si="19"/>
        <v>0</v>
      </c>
      <c r="H30" s="157">
        <f t="shared" si="20"/>
        <v>0</v>
      </c>
      <c r="I30" s="138">
        <f t="shared" si="21"/>
        <v>0</v>
      </c>
      <c r="J30" s="138">
        <f t="shared" si="22"/>
        <v>0</v>
      </c>
      <c r="K30" s="147">
        <v>0</v>
      </c>
      <c r="L30" s="138">
        <f>$E$48*K30</f>
        <v>0</v>
      </c>
      <c r="M30" s="148">
        <f t="shared" si="23"/>
        <v>0</v>
      </c>
      <c r="N30" s="16"/>
      <c r="O30" s="157">
        <f t="shared" si="24"/>
        <v>0</v>
      </c>
      <c r="P30" s="138">
        <f t="shared" si="25"/>
        <v>0</v>
      </c>
      <c r="Q30" s="148">
        <f t="shared" si="26"/>
        <v>0</v>
      </c>
      <c r="R30" s="138">
        <f>RR!$G$59*Assets!M30/Assets!$M$50</f>
        <v>0</v>
      </c>
      <c r="S30" s="138">
        <f>RR!$G$60*Expenses!$O$31/Expenses!$O$66*J30/$J$31</f>
        <v>0</v>
      </c>
      <c r="T30" s="148">
        <f t="shared" si="27"/>
        <v>0</v>
      </c>
      <c r="U30" s="148">
        <f>T30</f>
        <v>0</v>
      </c>
      <c r="V30" s="138"/>
    </row>
    <row r="31" spans="2:22" x14ac:dyDescent="0.25">
      <c r="B31" s="16"/>
      <c r="D31" s="120" t="s">
        <v>226</v>
      </c>
      <c r="E31" s="150"/>
      <c r="F31" s="139"/>
      <c r="G31" s="140">
        <f>SUM(G29:G30)</f>
        <v>855.09924000000001</v>
      </c>
      <c r="H31" s="158"/>
      <c r="I31" s="140">
        <f>SUM(I29:I30)</f>
        <v>58.571520000000007</v>
      </c>
      <c r="J31" s="140">
        <f>SUM(J29:J30)</f>
        <v>913.67075999999997</v>
      </c>
      <c r="K31" s="139"/>
      <c r="L31" s="140">
        <f>SUM(L29:L30)</f>
        <v>-156.7100219875459</v>
      </c>
      <c r="M31" s="149">
        <f>SUM(M29:M30)</f>
        <v>756.96073801245404</v>
      </c>
      <c r="N31" s="150"/>
      <c r="O31" s="158"/>
      <c r="P31" s="140">
        <f t="shared" ref="P31:U31" si="28">SUM(P29:P30)</f>
        <v>372.81406218021135</v>
      </c>
      <c r="Q31" s="149">
        <f t="shared" si="28"/>
        <v>384.14667583224269</v>
      </c>
      <c r="R31" s="140">
        <f t="shared" si="28"/>
        <v>173.36515808156472</v>
      </c>
      <c r="S31" s="140">
        <f t="shared" si="28"/>
        <v>4.2510221276849647</v>
      </c>
      <c r="T31" s="149">
        <f t="shared" si="28"/>
        <v>561.76285604149246</v>
      </c>
      <c r="U31" s="149">
        <f t="shared" si="28"/>
        <v>75.711957098796645</v>
      </c>
      <c r="V31" s="138"/>
    </row>
    <row r="32" spans="2:22" x14ac:dyDescent="0.25">
      <c r="B32" s="16"/>
      <c r="E32" s="16"/>
      <c r="H32" s="42"/>
      <c r="M32" s="18"/>
      <c r="N32" s="16"/>
      <c r="Q32" s="18"/>
      <c r="T32" s="18"/>
      <c r="U32" s="18"/>
    </row>
    <row r="33" spans="2:22" x14ac:dyDescent="0.25">
      <c r="B33" s="117" t="s">
        <v>231</v>
      </c>
      <c r="E33" s="16"/>
      <c r="H33" s="42"/>
      <c r="M33" s="18"/>
      <c r="N33" s="16"/>
      <c r="Q33" s="18"/>
      <c r="T33" s="18"/>
      <c r="U33" s="18"/>
    </row>
    <row r="34" spans="2:22" x14ac:dyDescent="0.25">
      <c r="B34" s="118" t="s">
        <v>78</v>
      </c>
      <c r="E34" s="151"/>
      <c r="F34" s="147">
        <v>8.9999999999999993E-3</v>
      </c>
      <c r="G34" s="138">
        <f t="shared" ref="G34:G35" si="29">F34*$E$44</f>
        <v>64.132442999999995</v>
      </c>
      <c r="H34" s="157">
        <f t="shared" ref="H34:H35" si="30">G34/SUM($G$17,$G$21,$G$26,$G$31,$G$36,$G$41)</f>
        <v>8.9999999999999993E-3</v>
      </c>
      <c r="I34" s="138">
        <f t="shared" ref="I34:I35" si="31">H34*SUM($E$45,$E$46)</f>
        <v>4.3928639999999994</v>
      </c>
      <c r="J34" s="138">
        <f t="shared" ref="J34:J35" si="32">G34+I34</f>
        <v>68.525306999999998</v>
      </c>
      <c r="K34" s="147">
        <v>0.04</v>
      </c>
      <c r="L34" s="138">
        <f>$E$48*K34</f>
        <v>-44.774291996441683</v>
      </c>
      <c r="M34" s="148">
        <f t="shared" ref="M34:M35" si="33">E34+G34+I34+L34</f>
        <v>23.751015003558315</v>
      </c>
      <c r="N34" s="16"/>
      <c r="O34" s="157">
        <f t="shared" ref="O34:O35" si="34">M34/$M$50</f>
        <v>3.6570597789522688E-3</v>
      </c>
      <c r="P34" s="138">
        <f t="shared" ref="P34:P35" si="35">O34*$N$50</f>
        <v>11.697716856001636</v>
      </c>
      <c r="Q34" s="148">
        <f t="shared" ref="Q34:Q35" si="36">M34-P34</f>
        <v>12.05329814755668</v>
      </c>
      <c r="R34" s="138">
        <f>RR!$G$59*Assets!M34/Assets!$M$50</f>
        <v>5.4396460264254261</v>
      </c>
      <c r="S34" s="138">
        <f>RR!$G$60*Expenses!$O$37/Expenses!$O$66*J34/$J$36</f>
        <v>0.21694994283122698</v>
      </c>
      <c r="T34" s="148">
        <f t="shared" ref="T34:T35" si="37">Q34+R34+S34</f>
        <v>17.709894116813334</v>
      </c>
      <c r="U34" s="148">
        <f>V.Realloc!$K$29*Assets!T34/(Assets!T34+Assets!T39)</f>
        <v>957.98846625607428</v>
      </c>
      <c r="V34" s="138"/>
    </row>
    <row r="35" spans="2:22" x14ac:dyDescent="0.25">
      <c r="B35" s="118" t="s">
        <v>72</v>
      </c>
      <c r="E35" s="152"/>
      <c r="F35" s="147">
        <v>0.02</v>
      </c>
      <c r="G35" s="138">
        <f t="shared" si="29"/>
        <v>142.51654000000002</v>
      </c>
      <c r="H35" s="157">
        <f t="shared" si="30"/>
        <v>2.0000000000000004E-2</v>
      </c>
      <c r="I35" s="138">
        <f t="shared" si="31"/>
        <v>9.7619200000000017</v>
      </c>
      <c r="J35" s="138">
        <f t="shared" si="32"/>
        <v>152.27846000000002</v>
      </c>
      <c r="K35" s="147">
        <v>0.1</v>
      </c>
      <c r="L35" s="138">
        <f>$E$48*K35</f>
        <v>-111.93572999110421</v>
      </c>
      <c r="M35" s="148">
        <f t="shared" si="33"/>
        <v>40.342730008895813</v>
      </c>
      <c r="N35" s="16"/>
      <c r="O35" s="157">
        <f t="shared" si="34"/>
        <v>6.2117671714897304E-3</v>
      </c>
      <c r="P35" s="138">
        <f t="shared" si="35"/>
        <v>19.869375383388125</v>
      </c>
      <c r="Q35" s="148">
        <f t="shared" si="36"/>
        <v>20.473354625507689</v>
      </c>
      <c r="R35" s="138">
        <f>RR!$G$59*Assets!M35/Assets!$M$50</f>
        <v>9.2396123262591701</v>
      </c>
      <c r="S35" s="138">
        <f>RR!$G$60*Expenses!$O$37/Expenses!$O$66*J35/$J$36</f>
        <v>0.4821109840693934</v>
      </c>
      <c r="T35" s="148">
        <f t="shared" si="37"/>
        <v>30.195077935836252</v>
      </c>
      <c r="U35" s="148">
        <f>T35</f>
        <v>30.195077935836252</v>
      </c>
      <c r="V35" s="138"/>
    </row>
    <row r="36" spans="2:22" x14ac:dyDescent="0.25">
      <c r="B36" s="16"/>
      <c r="D36" s="120" t="s">
        <v>226</v>
      </c>
      <c r="E36" s="150"/>
      <c r="F36" s="139"/>
      <c r="G36" s="140">
        <f>SUM(G34:G35)</f>
        <v>206.64898300000002</v>
      </c>
      <c r="H36" s="158"/>
      <c r="I36" s="140">
        <f>SUM(I34:I35)</f>
        <v>14.154784000000001</v>
      </c>
      <c r="J36" s="140">
        <f>SUM(J34:J35)</f>
        <v>220.80376700000002</v>
      </c>
      <c r="K36" s="139"/>
      <c r="L36" s="140">
        <f>SUM(L34:L35)</f>
        <v>-156.7100219875459</v>
      </c>
      <c r="M36" s="149">
        <f>SUM(M34:M35)</f>
        <v>64.093745012454121</v>
      </c>
      <c r="N36" s="150"/>
      <c r="O36" s="158"/>
      <c r="P36" s="140">
        <f t="shared" ref="P36:U36" si="38">SUM(P34:P35)</f>
        <v>31.567092239389758</v>
      </c>
      <c r="Q36" s="149">
        <f t="shared" si="38"/>
        <v>32.52665277306437</v>
      </c>
      <c r="R36" s="140">
        <f t="shared" si="38"/>
        <v>14.679258352684595</v>
      </c>
      <c r="S36" s="140">
        <f t="shared" si="38"/>
        <v>0.69906092690062038</v>
      </c>
      <c r="T36" s="149">
        <f t="shared" si="38"/>
        <v>47.904972052649583</v>
      </c>
      <c r="U36" s="149">
        <f t="shared" si="38"/>
        <v>988.18354419191053</v>
      </c>
      <c r="V36" s="138"/>
    </row>
    <row r="37" spans="2:22" x14ac:dyDescent="0.25">
      <c r="B37" s="16"/>
      <c r="E37" s="16"/>
      <c r="H37" s="42"/>
      <c r="M37" s="18"/>
      <c r="N37" s="16"/>
      <c r="Q37" s="18"/>
      <c r="T37" s="18"/>
      <c r="U37" s="18"/>
    </row>
    <row r="38" spans="2:22" x14ac:dyDescent="0.25">
      <c r="B38" s="117" t="s">
        <v>232</v>
      </c>
      <c r="E38" s="16"/>
      <c r="H38" s="42"/>
      <c r="M38" s="18"/>
      <c r="N38" s="16"/>
      <c r="Q38" s="18"/>
      <c r="T38" s="18"/>
      <c r="U38" s="18"/>
    </row>
    <row r="39" spans="2:22" x14ac:dyDescent="0.25">
      <c r="B39" s="118" t="s">
        <v>78</v>
      </c>
      <c r="E39" s="151"/>
      <c r="F39" s="147">
        <v>0.03</v>
      </c>
      <c r="G39" s="138">
        <f t="shared" ref="G39:G40" si="39">F39*$E$44</f>
        <v>213.77481</v>
      </c>
      <c r="H39" s="157">
        <f t="shared" ref="H39:H40" si="40">G39/SUM($G$17,$G$21,$G$26,$G$31,$G$36,$G$41)</f>
        <v>3.0000000000000002E-2</v>
      </c>
      <c r="I39" s="138">
        <f t="shared" ref="I39:I40" si="41">H39*SUM($E$45,$E$46)</f>
        <v>14.642880000000002</v>
      </c>
      <c r="J39" s="138">
        <f t="shared" ref="J39:J40" si="42">G39+I39</f>
        <v>228.41768999999999</v>
      </c>
      <c r="K39" s="147">
        <v>0.2</v>
      </c>
      <c r="L39" s="138">
        <f>$E$48*K39</f>
        <v>-223.87145998220842</v>
      </c>
      <c r="M39" s="148">
        <f t="shared" ref="M39:M40" si="43">E39+G39+I39+L39</f>
        <v>4.5462300177915722</v>
      </c>
      <c r="N39" s="16"/>
      <c r="O39" s="157">
        <f t="shared" ref="O39:O40" si="44">M39/$M$50</f>
        <v>7.000052394156703E-4</v>
      </c>
      <c r="P39" s="138">
        <f t="shared" ref="P39:P40" si="45">O39*$N$50</f>
        <v>2.2390837403123078</v>
      </c>
      <c r="Q39" s="148">
        <f t="shared" ref="Q39:Q40" si="46">M39-P39</f>
        <v>2.3071462774792644</v>
      </c>
      <c r="R39" s="138">
        <f>RR!$G$59*Assets!M39/Assets!$M$50</f>
        <v>1.0412136933007263</v>
      </c>
      <c r="S39" s="138">
        <f>RR!$G$60*Expenses!$O$43/Expenses!$O$66*J39/$J$41</f>
        <v>0.55257228793848812</v>
      </c>
      <c r="T39" s="148">
        <f t="shared" ref="T39:T40" si="47">Q39+R39+S39</f>
        <v>3.9009322587184792</v>
      </c>
      <c r="U39" s="148">
        <f>V.Realloc!$K$29*Assets!T39/(Assets!T34+Assets!T39)</f>
        <v>211.01470662948222</v>
      </c>
      <c r="V39" s="138"/>
    </row>
    <row r="40" spans="2:22" x14ac:dyDescent="0.25">
      <c r="B40" s="118" t="s">
        <v>72</v>
      </c>
      <c r="E40" s="152"/>
      <c r="F40" s="147">
        <v>0</v>
      </c>
      <c r="G40" s="138">
        <f t="shared" si="39"/>
        <v>0</v>
      </c>
      <c r="H40" s="157">
        <f t="shared" si="40"/>
        <v>0</v>
      </c>
      <c r="I40" s="138">
        <f t="shared" si="41"/>
        <v>0</v>
      </c>
      <c r="J40" s="138">
        <f t="shared" si="42"/>
        <v>0</v>
      </c>
      <c r="K40" s="147">
        <v>0</v>
      </c>
      <c r="L40" s="138">
        <f>$E$48*K40</f>
        <v>0</v>
      </c>
      <c r="M40" s="148">
        <f t="shared" si="43"/>
        <v>0</v>
      </c>
      <c r="N40" s="16"/>
      <c r="O40" s="157">
        <f t="shared" si="44"/>
        <v>0</v>
      </c>
      <c r="P40" s="138">
        <f t="shared" si="45"/>
        <v>0</v>
      </c>
      <c r="Q40" s="148">
        <f t="shared" si="46"/>
        <v>0</v>
      </c>
      <c r="R40" s="138">
        <f>RR!$G$59*Assets!M40/Assets!$M$50</f>
        <v>0</v>
      </c>
      <c r="S40" s="138">
        <f>RR!$G$60*Expenses!$O$43/Expenses!$O$66*J40/$J$41</f>
        <v>0</v>
      </c>
      <c r="T40" s="148">
        <f t="shared" si="47"/>
        <v>0</v>
      </c>
      <c r="U40" s="148">
        <f>T40</f>
        <v>0</v>
      </c>
      <c r="V40" s="138"/>
    </row>
    <row r="41" spans="2:22" x14ac:dyDescent="0.25">
      <c r="B41" s="16"/>
      <c r="D41" s="120" t="s">
        <v>226</v>
      </c>
      <c r="E41" s="150"/>
      <c r="F41" s="139"/>
      <c r="G41" s="140">
        <f>SUM(G39:G40)</f>
        <v>213.77481</v>
      </c>
      <c r="H41" s="139"/>
      <c r="I41" s="140">
        <f>SUM(I39:I40)</f>
        <v>14.642880000000002</v>
      </c>
      <c r="J41" s="140">
        <f>SUM(J39:J40)</f>
        <v>228.41768999999999</v>
      </c>
      <c r="K41" s="139"/>
      <c r="L41" s="140">
        <f>SUM(L39:L40)</f>
        <v>-223.87145998220842</v>
      </c>
      <c r="M41" s="149">
        <f>SUM(M39:M40)</f>
        <v>4.5462300177915722</v>
      </c>
      <c r="N41" s="150"/>
      <c r="O41" s="158"/>
      <c r="P41" s="140">
        <f t="shared" ref="P41:U41" si="48">SUM(P39:P40)</f>
        <v>2.2390837403123078</v>
      </c>
      <c r="Q41" s="149">
        <f t="shared" si="48"/>
        <v>2.3071462774792644</v>
      </c>
      <c r="R41" s="140">
        <f t="shared" si="48"/>
        <v>1.0412136933007263</v>
      </c>
      <c r="S41" s="140">
        <f t="shared" si="48"/>
        <v>0.55257228793848812</v>
      </c>
      <c r="T41" s="149">
        <f t="shared" si="48"/>
        <v>3.9009322587184792</v>
      </c>
      <c r="U41" s="149">
        <f t="shared" si="48"/>
        <v>211.01470662948222</v>
      </c>
      <c r="V41" s="138"/>
    </row>
    <row r="42" spans="2:22" x14ac:dyDescent="0.25">
      <c r="B42" s="16"/>
      <c r="E42" s="16"/>
      <c r="M42" s="18"/>
      <c r="N42" s="16"/>
      <c r="Q42" s="18"/>
      <c r="T42" s="18"/>
      <c r="U42" s="18"/>
    </row>
    <row r="43" spans="2:22" x14ac:dyDescent="0.25">
      <c r="B43" s="146" t="s">
        <v>233</v>
      </c>
      <c r="E43" s="16"/>
      <c r="M43" s="18"/>
      <c r="N43" s="16"/>
      <c r="Q43" s="18"/>
      <c r="T43" s="18"/>
      <c r="U43" s="18"/>
    </row>
    <row r="44" spans="2:22" x14ac:dyDescent="0.25">
      <c r="B44" s="118" t="s">
        <v>442</v>
      </c>
      <c r="E44" s="153">
        <f>RR!G43</f>
        <v>7125.8270000000002</v>
      </c>
      <c r="G44" s="138">
        <f>-E44</f>
        <v>-7125.8270000000002</v>
      </c>
      <c r="I44" s="138"/>
      <c r="J44" s="138"/>
      <c r="L44" s="138"/>
      <c r="M44" s="148">
        <f t="shared" ref="M44:M48" si="49">E44+G44+I44+L44</f>
        <v>0</v>
      </c>
      <c r="N44" s="153">
        <f>RR!G50</f>
        <v>3387.739</v>
      </c>
      <c r="P44" s="138">
        <f>-N44</f>
        <v>-3387.739</v>
      </c>
      <c r="Q44" s="148">
        <f>N44+P44</f>
        <v>0</v>
      </c>
      <c r="R44" s="138"/>
      <c r="S44" s="138"/>
      <c r="T44" s="18"/>
      <c r="U44" s="18"/>
      <c r="V44" s="138"/>
    </row>
    <row r="45" spans="2:22" x14ac:dyDescent="0.25">
      <c r="B45" s="118" t="s">
        <v>119</v>
      </c>
      <c r="E45" s="153">
        <f>RR!G44</f>
        <v>313.48700000000002</v>
      </c>
      <c r="G45" s="138"/>
      <c r="I45" s="138">
        <f>-E45</f>
        <v>-313.48700000000002</v>
      </c>
      <c r="J45" s="138"/>
      <c r="L45" s="138"/>
      <c r="M45" s="148">
        <f t="shared" si="49"/>
        <v>0</v>
      </c>
      <c r="N45" s="153">
        <f>RR!G51</f>
        <v>141.66800000000001</v>
      </c>
      <c r="P45" s="138">
        <f t="shared" ref="P45:P46" si="50">-N45</f>
        <v>-141.66800000000001</v>
      </c>
      <c r="Q45" s="148">
        <f t="shared" ref="Q45:Q48" si="51">N45+P45</f>
        <v>0</v>
      </c>
      <c r="R45" s="138"/>
      <c r="S45" s="138"/>
      <c r="T45" s="18"/>
      <c r="U45" s="18"/>
      <c r="V45" s="138"/>
    </row>
    <row r="46" spans="2:22" x14ac:dyDescent="0.25">
      <c r="B46" s="118" t="s">
        <v>120</v>
      </c>
      <c r="D46" s="120"/>
      <c r="E46" s="153">
        <f>RR!G45</f>
        <v>174.60900000000001</v>
      </c>
      <c r="G46" s="138"/>
      <c r="I46" s="138">
        <f>-E46</f>
        <v>-174.60900000000001</v>
      </c>
      <c r="J46" s="138"/>
      <c r="L46" s="138"/>
      <c r="M46" s="148">
        <f t="shared" si="49"/>
        <v>0</v>
      </c>
      <c r="N46" s="153">
        <f>RR!G52</f>
        <v>117.735</v>
      </c>
      <c r="P46" s="138">
        <f t="shared" si="50"/>
        <v>-117.735</v>
      </c>
      <c r="Q46" s="148">
        <f t="shared" si="51"/>
        <v>0</v>
      </c>
      <c r="R46" s="138"/>
      <c r="S46" s="138"/>
      <c r="T46" s="18"/>
      <c r="U46" s="18"/>
      <c r="V46" s="138"/>
    </row>
    <row r="47" spans="2:22" x14ac:dyDescent="0.25">
      <c r="B47" s="16"/>
      <c r="D47" s="120" t="s">
        <v>226</v>
      </c>
      <c r="E47" s="154">
        <f>SUM(E44:E46)</f>
        <v>7613.9230000000007</v>
      </c>
      <c r="F47" s="139"/>
      <c r="G47" s="140">
        <f>SUM(G44:G46)</f>
        <v>-7125.8270000000002</v>
      </c>
      <c r="H47" s="139"/>
      <c r="I47" s="140">
        <f>SUM(I44:I46)</f>
        <v>-488.096</v>
      </c>
      <c r="J47" s="140">
        <f>SUM(J44:J46)</f>
        <v>0</v>
      </c>
      <c r="K47" s="139"/>
      <c r="L47" s="140">
        <f>SUM(L44:L46)</f>
        <v>0</v>
      </c>
      <c r="M47" s="149">
        <f>SUM(M44:M46)</f>
        <v>0</v>
      </c>
      <c r="N47" s="154">
        <f>SUM(N44:N46)</f>
        <v>3647.1420000000003</v>
      </c>
      <c r="O47" s="158"/>
      <c r="P47" s="140">
        <f>SUM(P44:P46)</f>
        <v>-3647.1420000000003</v>
      </c>
      <c r="Q47" s="149">
        <f>SUM(Q44:Q46)</f>
        <v>0</v>
      </c>
      <c r="R47" s="140"/>
      <c r="S47" s="140"/>
      <c r="T47" s="51"/>
      <c r="U47" s="51"/>
      <c r="V47" s="138"/>
    </row>
    <row r="48" spans="2:22" x14ac:dyDescent="0.25">
      <c r="B48" s="118" t="s">
        <v>234</v>
      </c>
      <c r="E48" s="153">
        <f>-RR!G46</f>
        <v>-1119.357299911042</v>
      </c>
      <c r="G48" s="138"/>
      <c r="L48" s="138">
        <f>-E48</f>
        <v>1119.357299911042</v>
      </c>
      <c r="M48" s="148">
        <f t="shared" si="49"/>
        <v>0</v>
      </c>
      <c r="N48" s="153">
        <f>-RR!G53</f>
        <v>-448.47488404900571</v>
      </c>
      <c r="P48" s="138">
        <f>-N48</f>
        <v>448.47488404900571</v>
      </c>
      <c r="Q48" s="148">
        <f t="shared" si="51"/>
        <v>0</v>
      </c>
      <c r="R48" s="138"/>
      <c r="S48" s="138"/>
      <c r="T48" s="18"/>
      <c r="U48" s="18"/>
      <c r="V48" s="138"/>
    </row>
    <row r="49" spans="2:22" x14ac:dyDescent="0.25">
      <c r="B49" s="118"/>
      <c r="E49" s="65"/>
      <c r="F49" s="66"/>
      <c r="G49" s="66"/>
      <c r="H49" s="66"/>
      <c r="I49" s="66"/>
      <c r="J49" s="66"/>
      <c r="K49" s="66"/>
      <c r="L49" s="66"/>
      <c r="M49" s="45"/>
      <c r="N49" s="16"/>
      <c r="O49" s="13"/>
      <c r="P49" s="66"/>
      <c r="Q49" s="18"/>
      <c r="R49" s="66"/>
      <c r="S49" s="66"/>
      <c r="T49" s="18"/>
      <c r="U49" s="18"/>
    </row>
    <row r="50" spans="2:22" x14ac:dyDescent="0.25">
      <c r="B50" s="150"/>
      <c r="C50" s="139"/>
      <c r="D50" s="155" t="s">
        <v>52</v>
      </c>
      <c r="E50" s="140">
        <f>SUM(E17,E21,E26,E31,E36,E41,E47,E48)</f>
        <v>6494.5657000889587</v>
      </c>
      <c r="F50" s="141">
        <f>SUM(F16,F19:F20,F24:F25,F29:F30,F34:F35,F39:F40)</f>
        <v>1</v>
      </c>
      <c r="G50" s="140">
        <f>SUM(G17,G21,G26,G31,G36,G41,G47,G48)</f>
        <v>0</v>
      </c>
      <c r="H50" s="141">
        <f>SUM(H16,H19:H20,H24:H25,H29:H30,H34:H35,H39:H40)</f>
        <v>1.0000000000000002</v>
      </c>
      <c r="I50" s="140">
        <f>SUM(I17,I21,I26,I31,I36,I41,I47,I48)</f>
        <v>0</v>
      </c>
      <c r="J50" s="140">
        <f>SUM(J17,J21,J26,J31,J36,J41,J47,J48)</f>
        <v>7613.9230000000016</v>
      </c>
      <c r="K50" s="141">
        <f>SUM(K16,K19:K20,K24:K25,K29:K30,K34:K35,K39:K40)</f>
        <v>1</v>
      </c>
      <c r="L50" s="140">
        <f>SUM(L17,L21,L26,L31,L36,L41,L47,L48)</f>
        <v>0</v>
      </c>
      <c r="M50" s="149">
        <f>SUM(M17,M21,M26,M31,M36,M41,M47,M48)</f>
        <v>6494.5657000889587</v>
      </c>
      <c r="N50" s="154">
        <f>SUM(N17,N21,N26,N31,N36,N41,N47,N48)</f>
        <v>3198.6671159509947</v>
      </c>
      <c r="O50" s="141">
        <f>SUM(O16,O19:O20,O24:O25,O29:O30,O34:O35,O39:O40)</f>
        <v>1</v>
      </c>
      <c r="P50" s="140">
        <f t="shared" ref="P50:U50" si="52">SUM(P17,P21,P26,P31,P36,P41,P47,P48)</f>
        <v>0</v>
      </c>
      <c r="Q50" s="149">
        <f t="shared" si="52"/>
        <v>3295.898584137964</v>
      </c>
      <c r="R50" s="140">
        <f t="shared" si="52"/>
        <v>1487.4369999999997</v>
      </c>
      <c r="S50" s="140">
        <f t="shared" si="52"/>
        <v>99.172000000000068</v>
      </c>
      <c r="T50" s="149">
        <f t="shared" si="52"/>
        <v>4882.5075841379639</v>
      </c>
      <c r="U50" s="149">
        <f t="shared" si="52"/>
        <v>4103.6627697260665</v>
      </c>
      <c r="V50" s="138"/>
    </row>
    <row r="51" spans="2:22" x14ac:dyDescent="0.25">
      <c r="O51" s="1"/>
    </row>
    <row r="52" spans="2:22" s="143" customFormat="1" x14ac:dyDescent="0.25">
      <c r="F52" s="143" t="str">
        <f>IF(F50&lt;&gt;1,"ERROR !! Sum should be 100%","OK")</f>
        <v>OK</v>
      </c>
      <c r="G52" s="143" t="str">
        <f>IF(G50&lt;&gt;0,"ERROR !! Not fully allocated","OK")</f>
        <v>OK</v>
      </c>
      <c r="H52" s="143" t="str">
        <f>IF(H50&lt;&gt;1,"ERROR !! Sum should be 100%","OK")</f>
        <v>OK</v>
      </c>
      <c r="I52" s="143" t="str">
        <f>IF(I50&lt;&gt;0,"ERROR !! Not fully allocated","OK")</f>
        <v>OK</v>
      </c>
      <c r="K52" s="143" t="str">
        <f>IF(K50&lt;&gt;1,"ERROR !! Sum should be 100%","OK")</f>
        <v>OK</v>
      </c>
      <c r="L52" s="143" t="str">
        <f>IF(L50&lt;&gt;0,"ERROR !! Not fully allocated","OK")</f>
        <v>OK</v>
      </c>
      <c r="M52" s="143" t="str">
        <f>IF(M50&lt;&gt;(E47+E48),"ERROR !!","OK")</f>
        <v>OK</v>
      </c>
      <c r="O52" s="143" t="str">
        <f>IF(O50&lt;&gt;1,"ERROR !! Sum should be 100%","OK")</f>
        <v>OK</v>
      </c>
      <c r="P52" s="143" t="str">
        <f>IF(P50&lt;&gt;0,"ERROR !! Not fully allocated","OK")</f>
        <v>OK</v>
      </c>
      <c r="Q52" s="143" t="str">
        <f>IF(Q50&lt;&gt;(M50-N50),"ERROR !!","OK")</f>
        <v>OK</v>
      </c>
    </row>
  </sheetData>
  <mergeCells count="17">
    <mergeCell ref="B12:D14"/>
    <mergeCell ref="J13:J14"/>
    <mergeCell ref="N13:N14"/>
    <mergeCell ref="Q13:Q14"/>
    <mergeCell ref="N12:Q12"/>
    <mergeCell ref="U12:U14"/>
    <mergeCell ref="T13:T14"/>
    <mergeCell ref="R12:T12"/>
    <mergeCell ref="M13:M14"/>
    <mergeCell ref="E12:M12"/>
    <mergeCell ref="O13:P13"/>
    <mergeCell ref="O14:P14"/>
    <mergeCell ref="F13:G13"/>
    <mergeCell ref="H13:I13"/>
    <mergeCell ref="H14:I14"/>
    <mergeCell ref="K13:L13"/>
    <mergeCell ref="E13:E14"/>
  </mergeCells>
  <conditionalFormatting sqref="F52:M52">
    <cfRule type="containsText" dxfId="4" priority="10" operator="containsText" text="error">
      <formula>NOT(ISERROR(SEARCH("error",F52)))</formula>
    </cfRule>
  </conditionalFormatting>
  <conditionalFormatting sqref="O52:S52">
    <cfRule type="containsText" dxfId="3" priority="3" operator="containsText" text="error">
      <formula>NOT(ISERROR(SEARCH("error",O52)))</formula>
    </cfRule>
  </conditionalFormatting>
  <conditionalFormatting sqref="V52">
    <cfRule type="containsText" dxfId="2" priority="1" operator="containsText" text="error">
      <formula>NOT(ISERROR(SEARCH("error",V52)))</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B66"/>
  <sheetViews>
    <sheetView showGridLines="0" zoomScale="120" zoomScaleNormal="120" workbookViewId="0">
      <selection activeCell="B18" sqref="B18"/>
    </sheetView>
  </sheetViews>
  <sheetFormatPr defaultColWidth="9.1796875" defaultRowHeight="10.5" x14ac:dyDescent="0.25"/>
  <cols>
    <col min="1" max="6" width="9.1796875" style="1"/>
    <col min="7" max="7" width="9.81640625" style="1" customWidth="1"/>
    <col min="8" max="15" width="9.1796875" style="1"/>
    <col min="16" max="16" width="0" style="1" hidden="1" customWidth="1"/>
    <col min="17" max="16384" width="9.1796875" style="1"/>
  </cols>
  <sheetData>
    <row r="2" spans="2:28" x14ac:dyDescent="0.25">
      <c r="H2" s="4" t="s">
        <v>235</v>
      </c>
      <c r="J2" s="4"/>
      <c r="K2" s="4"/>
    </row>
    <row r="3" spans="2:28" ht="12.5" x14ac:dyDescent="0.3">
      <c r="H3" s="5" t="s">
        <v>2</v>
      </c>
      <c r="J3" s="5"/>
      <c r="K3" s="5"/>
    </row>
    <row r="4" spans="2:28" ht="12.5" x14ac:dyDescent="0.3">
      <c r="H4" s="5" t="s">
        <v>117</v>
      </c>
      <c r="J4" s="5"/>
      <c r="K4" s="5"/>
    </row>
    <row r="7" spans="2:28" s="91" customFormat="1" x14ac:dyDescent="0.35">
      <c r="B7" s="323" t="s">
        <v>207</v>
      </c>
      <c r="C7" s="322"/>
      <c r="D7" s="324"/>
      <c r="E7" s="317" t="s">
        <v>237</v>
      </c>
      <c r="F7" s="328" t="s">
        <v>236</v>
      </c>
      <c r="G7" s="328"/>
      <c r="H7" s="328"/>
      <c r="I7" s="328"/>
      <c r="J7" s="328"/>
      <c r="K7" s="328"/>
      <c r="L7" s="328"/>
      <c r="M7" s="328"/>
      <c r="N7" s="329"/>
      <c r="O7" s="317" t="s">
        <v>250</v>
      </c>
      <c r="P7" s="317" t="s">
        <v>59</v>
      </c>
    </row>
    <row r="8" spans="2:28" s="91" customFormat="1" ht="52.5" x14ac:dyDescent="0.35">
      <c r="B8" s="295"/>
      <c r="C8" s="296"/>
      <c r="D8" s="312"/>
      <c r="E8" s="327"/>
      <c r="F8" s="91" t="s">
        <v>238</v>
      </c>
      <c r="G8" s="91" t="s">
        <v>240</v>
      </c>
      <c r="H8" s="91" t="s">
        <v>242</v>
      </c>
      <c r="I8" s="91" t="s">
        <v>444</v>
      </c>
      <c r="J8" s="91" t="s">
        <v>245</v>
      </c>
      <c r="K8" s="91" t="s">
        <v>246</v>
      </c>
      <c r="L8" s="91" t="s">
        <v>248</v>
      </c>
      <c r="M8" s="91" t="s">
        <v>95</v>
      </c>
      <c r="N8" s="145" t="s">
        <v>249</v>
      </c>
      <c r="O8" s="327"/>
      <c r="P8" s="327"/>
    </row>
    <row r="9" spans="2:28" s="94" customFormat="1" ht="21" x14ac:dyDescent="0.35">
      <c r="B9" s="325"/>
      <c r="C9" s="326"/>
      <c r="D9" s="313"/>
      <c r="E9" s="318"/>
      <c r="F9" s="95" t="s">
        <v>239</v>
      </c>
      <c r="G9" s="95" t="s">
        <v>241</v>
      </c>
      <c r="H9" s="95" t="s">
        <v>244</v>
      </c>
      <c r="I9" s="95" t="s">
        <v>243</v>
      </c>
      <c r="J9" s="95" t="s">
        <v>244</v>
      </c>
      <c r="K9" s="95" t="s">
        <v>247</v>
      </c>
      <c r="L9" s="95" t="s">
        <v>247</v>
      </c>
      <c r="M9" s="95" t="s">
        <v>251</v>
      </c>
      <c r="N9" s="96" t="s">
        <v>243</v>
      </c>
      <c r="O9" s="318"/>
      <c r="P9" s="318"/>
    </row>
    <row r="10" spans="2:28" x14ac:dyDescent="0.25">
      <c r="B10" s="167"/>
      <c r="C10" s="168"/>
      <c r="D10" s="169"/>
      <c r="O10" s="18"/>
      <c r="P10" s="18"/>
    </row>
    <row r="11" spans="2:28" x14ac:dyDescent="0.25">
      <c r="B11" s="146" t="s">
        <v>225</v>
      </c>
      <c r="D11" s="18"/>
      <c r="O11" s="18"/>
      <c r="P11" s="18"/>
    </row>
    <row r="12" spans="2:28" x14ac:dyDescent="0.25">
      <c r="B12" s="161" t="s">
        <v>252</v>
      </c>
      <c r="D12" s="18"/>
      <c r="F12" s="138">
        <f>E46</f>
        <v>69.063000000000002</v>
      </c>
      <c r="G12" s="138"/>
      <c r="H12" s="138"/>
      <c r="I12" s="138"/>
      <c r="J12" s="138"/>
      <c r="K12" s="138"/>
      <c r="L12" s="138"/>
      <c r="M12" s="138"/>
      <c r="N12" s="138"/>
      <c r="O12" s="148">
        <f>SUM(F12,G12,H12,J12,K12,L12,M12)-N12</f>
        <v>69.063000000000002</v>
      </c>
      <c r="P12" s="148">
        <f>O12</f>
        <v>69.063000000000002</v>
      </c>
    </row>
    <row r="13" spans="2:28" x14ac:dyDescent="0.25">
      <c r="B13" s="161" t="s">
        <v>253</v>
      </c>
      <c r="D13" s="18"/>
      <c r="F13" s="138"/>
      <c r="G13" s="138"/>
      <c r="H13" s="138">
        <f>SUM($E$51,$E$53)*Assets!J16/Assets!$J$50</f>
        <v>68.514810000000011</v>
      </c>
      <c r="I13" s="138"/>
      <c r="J13" s="138">
        <f>I14/$I$66*$E$52</f>
        <v>257.20076923076925</v>
      </c>
      <c r="K13" s="138">
        <f>$E$54*Assets!M16/Assets!$M$50</f>
        <v>80.053911393452452</v>
      </c>
      <c r="L13" s="138">
        <f>$E$57*Assets!M16/Assets!$M$50</f>
        <v>0</v>
      </c>
      <c r="M13" s="138"/>
      <c r="N13" s="138"/>
      <c r="O13" s="148">
        <f>SUM(F13,G13,H13,J13,K13,L13,M13)-N13</f>
        <v>405.7694906242217</v>
      </c>
      <c r="P13" s="148">
        <f>O13</f>
        <v>405.7694906242217</v>
      </c>
    </row>
    <row r="14" spans="2:28" x14ac:dyDescent="0.25">
      <c r="B14" s="16"/>
      <c r="D14" s="170" t="s">
        <v>226</v>
      </c>
      <c r="E14" s="154"/>
      <c r="F14" s="140">
        <f>SUM(F12:F13)</f>
        <v>69.063000000000002</v>
      </c>
      <c r="G14" s="140">
        <f>SUM(G12:G13)</f>
        <v>0</v>
      </c>
      <c r="H14" s="140">
        <f>SUM(H12:H13)</f>
        <v>68.514810000000011</v>
      </c>
      <c r="I14" s="181">
        <f>RR!G72</f>
        <v>500</v>
      </c>
      <c r="J14" s="140">
        <f>SUM(J12:J13)</f>
        <v>257.20076923076925</v>
      </c>
      <c r="K14" s="140">
        <f>SUM(K12:K13)</f>
        <v>80.053911393452452</v>
      </c>
      <c r="L14" s="140">
        <f>SUM(L12:L13)</f>
        <v>0</v>
      </c>
      <c r="M14" s="140">
        <f t="shared" ref="M14:P14" si="0">SUM(M12:M13)</f>
        <v>0</v>
      </c>
      <c r="N14" s="140">
        <f t="shared" si="0"/>
        <v>0</v>
      </c>
      <c r="O14" s="149">
        <f t="shared" si="0"/>
        <v>474.83249062422169</v>
      </c>
      <c r="P14" s="149">
        <f t="shared" si="0"/>
        <v>474.83249062422169</v>
      </c>
      <c r="Q14" s="138"/>
      <c r="R14" s="138"/>
      <c r="S14" s="138"/>
      <c r="T14" s="138"/>
      <c r="U14" s="138"/>
      <c r="V14" s="138"/>
      <c r="W14" s="138"/>
      <c r="X14" s="138"/>
      <c r="Y14" s="138"/>
      <c r="Z14" s="138"/>
      <c r="AA14" s="138"/>
      <c r="AB14" s="138"/>
    </row>
    <row r="15" spans="2:28" x14ac:dyDescent="0.25">
      <c r="B15" s="117" t="s">
        <v>254</v>
      </c>
      <c r="D15" s="18"/>
      <c r="F15" s="138"/>
      <c r="G15" s="138"/>
      <c r="H15" s="138"/>
      <c r="I15" s="184"/>
      <c r="J15" s="138"/>
      <c r="K15" s="138"/>
      <c r="L15" s="138"/>
      <c r="M15" s="138"/>
      <c r="N15" s="138"/>
      <c r="O15" s="148"/>
      <c r="P15" s="148"/>
    </row>
    <row r="16" spans="2:28" x14ac:dyDescent="0.25">
      <c r="B16" s="161" t="s">
        <v>83</v>
      </c>
      <c r="D16" s="18"/>
      <c r="F16" s="138">
        <f>$E$49*SUMIF(Customer!$G$12:$G$42,"HV",Customer!$T$12:$T$42)/Customer!$T$43</f>
        <v>62.166999555858695</v>
      </c>
      <c r="G16" s="138"/>
      <c r="H16" s="138"/>
      <c r="I16" s="184"/>
      <c r="J16" s="138"/>
      <c r="K16" s="138"/>
      <c r="L16" s="138"/>
      <c r="M16" s="138"/>
      <c r="N16" s="138"/>
      <c r="O16" s="148">
        <f t="shared" ref="O16:O18" si="1">SUM(F16,G16,H16,J16,K16,L16,M16)-N16</f>
        <v>62.166999555858695</v>
      </c>
      <c r="P16" s="148">
        <f>O16</f>
        <v>62.166999555858695</v>
      </c>
    </row>
    <row r="17" spans="2:28" x14ac:dyDescent="0.25">
      <c r="B17" s="161" t="s">
        <v>253</v>
      </c>
      <c r="D17" s="18"/>
      <c r="F17" s="138"/>
      <c r="G17" s="138">
        <f>SUM($E$48,$E$50)*SUMIF(Customer!$G$12:$G$42,"HV",Customer!$V$12:$V$42)/Customer!$V$43</f>
        <v>151.52890749915954</v>
      </c>
      <c r="H17" s="138">
        <f>SUM($E$51,$E$53)*Assets!J19/Assets!$J$50</f>
        <v>54.46049</v>
      </c>
      <c r="I17" s="184"/>
      <c r="J17" s="138">
        <f>I19/$I$66*$E$52*Assets!J19/Assets!J21</f>
        <v>76.912127133316844</v>
      </c>
      <c r="K17" s="138">
        <f>$E$54*Assets!M19/Assets!$M$50</f>
        <v>63.632596235821161</v>
      </c>
      <c r="L17" s="138">
        <f>$E$57*Assets!M19/Assets!$M$50</f>
        <v>0</v>
      </c>
      <c r="M17" s="138"/>
      <c r="N17" s="138"/>
      <c r="O17" s="148">
        <f t="shared" si="1"/>
        <v>346.53412086829752</v>
      </c>
      <c r="P17" s="208">
        <f>V.Realloc!K75</f>
        <v>102.75060437767452</v>
      </c>
    </row>
    <row r="18" spans="2:28" x14ac:dyDescent="0.25">
      <c r="B18" s="162" t="s">
        <v>445</v>
      </c>
      <c r="D18" s="18"/>
      <c r="F18" s="138"/>
      <c r="G18" s="138"/>
      <c r="H18" s="138">
        <f>SUM($E$51,$E$53)*Assets!J20/Assets!$J$50</f>
        <v>0.17567899999999997</v>
      </c>
      <c r="I18" s="184"/>
      <c r="J18" s="138">
        <f>I19/$I$66*$E$52*Assets!J20/Assets!J21</f>
        <v>0.24810363591392529</v>
      </c>
      <c r="K18" s="138">
        <f>$E$54*Assets!M20/Assets!$M$50</f>
        <v>0.20526643947039083</v>
      </c>
      <c r="L18" s="138">
        <f>$E$57*Assets!M20/Assets!$M$50</f>
        <v>0</v>
      </c>
      <c r="M18" s="138">
        <f>$E$58*SUMIF(Customer!$G$12:$G$42,"HV",Customer!$J$12:$J$42)/Customer!$J$43</f>
        <v>3.3511053978843428E-4</v>
      </c>
      <c r="N18" s="138">
        <f>SUM($E$60:$E$63)*SUMIF(Customer!$G$12:$G$42,"HV",Customer!$J$12:$J$42)/Customer!$J$43</f>
        <v>7.0188031023568761E-4</v>
      </c>
      <c r="O18" s="148">
        <f t="shared" si="1"/>
        <v>0.62868230561386884</v>
      </c>
      <c r="P18" s="148">
        <f>O18</f>
        <v>0.62868230561386884</v>
      </c>
    </row>
    <row r="19" spans="2:28" x14ac:dyDescent="0.25">
      <c r="B19" s="16"/>
      <c r="D19" s="170" t="s">
        <v>226</v>
      </c>
      <c r="E19" s="154"/>
      <c r="F19" s="140">
        <f>SUM(F16:F18)</f>
        <v>62.166999555858695</v>
      </c>
      <c r="G19" s="140">
        <f>SUM(G16:G18)</f>
        <v>151.52890749915954</v>
      </c>
      <c r="H19" s="140">
        <f>SUM(H16:H18)</f>
        <v>54.636169000000002</v>
      </c>
      <c r="I19" s="181">
        <f>RR!G73</f>
        <v>150</v>
      </c>
      <c r="J19" s="140">
        <f>SUM(J16:J18)</f>
        <v>77.160230769230765</v>
      </c>
      <c r="K19" s="140">
        <f>SUM(K16:K18)</f>
        <v>63.837862675291554</v>
      </c>
      <c r="L19" s="140">
        <f>SUM(L16:L18)</f>
        <v>0</v>
      </c>
      <c r="M19" s="140">
        <f t="shared" ref="M19:P19" si="2">SUM(M16:M18)</f>
        <v>3.3511053978843428E-4</v>
      </c>
      <c r="N19" s="140">
        <f t="shared" si="2"/>
        <v>7.0188031023568761E-4</v>
      </c>
      <c r="O19" s="149">
        <f t="shared" si="2"/>
        <v>409.32980272977011</v>
      </c>
      <c r="P19" s="149">
        <f t="shared" si="2"/>
        <v>165.54628623914707</v>
      </c>
      <c r="Q19" s="138"/>
      <c r="R19" s="138"/>
      <c r="S19" s="138"/>
      <c r="T19" s="138"/>
      <c r="U19" s="138"/>
      <c r="V19" s="138"/>
      <c r="W19" s="138"/>
      <c r="X19" s="138"/>
      <c r="Y19" s="138"/>
      <c r="Z19" s="138"/>
      <c r="AA19" s="138"/>
      <c r="AB19" s="138"/>
    </row>
    <row r="20" spans="2:28" x14ac:dyDescent="0.25">
      <c r="B20" s="16"/>
      <c r="D20" s="18"/>
      <c r="F20" s="138"/>
      <c r="G20" s="138"/>
      <c r="H20" s="138"/>
      <c r="I20" s="184"/>
      <c r="J20" s="138"/>
      <c r="K20" s="138"/>
      <c r="L20" s="138"/>
      <c r="M20" s="138"/>
      <c r="N20" s="138"/>
      <c r="O20" s="148"/>
      <c r="P20" s="148"/>
    </row>
    <row r="21" spans="2:28" x14ac:dyDescent="0.25">
      <c r="B21" s="117" t="s">
        <v>255</v>
      </c>
      <c r="D21" s="18"/>
      <c r="F21" s="138"/>
      <c r="G21" s="138"/>
      <c r="H21" s="138"/>
      <c r="I21" s="184"/>
      <c r="J21" s="138"/>
      <c r="K21" s="138"/>
      <c r="L21" s="138"/>
      <c r="M21" s="138"/>
      <c r="N21" s="138"/>
      <c r="O21" s="148"/>
      <c r="P21" s="148"/>
    </row>
    <row r="22" spans="2:28" x14ac:dyDescent="0.25">
      <c r="B22" s="161" t="s">
        <v>253</v>
      </c>
      <c r="D22" s="18"/>
      <c r="F22" s="138">
        <f>$E$49*SUMIFS(Customer!$T$12:$T$42,Customer!$G$12:$G$42,"MV",Customer!$F$12:$F$42,"Urban")/Customer!$T$43</f>
        <v>0</v>
      </c>
      <c r="G22" s="138"/>
      <c r="H22" s="138"/>
      <c r="I22" s="184"/>
      <c r="J22" s="138"/>
      <c r="K22" s="138"/>
      <c r="L22" s="138"/>
      <c r="M22" s="138"/>
      <c r="N22" s="138"/>
      <c r="O22" s="148">
        <f t="shared" ref="O22:O24" si="3">SUM(F22,G22,H22,J22,K22,L22,M22)-N22</f>
        <v>0</v>
      </c>
      <c r="P22" s="148">
        <f>O22</f>
        <v>0</v>
      </c>
    </row>
    <row r="23" spans="2:28" x14ac:dyDescent="0.25">
      <c r="B23" s="161" t="s">
        <v>256</v>
      </c>
      <c r="D23" s="18"/>
      <c r="F23" s="138"/>
      <c r="G23" s="138">
        <f>SUM($E$48,$E$50)*SUMIFS(Customer!$V$12:$V$42,Customer!$G$12:$G$42,"MV",Customer!$F$12:$F$42,"Urban")/Customer!$V$43</f>
        <v>0</v>
      </c>
      <c r="H23" s="138">
        <f>SUM($E$51,$E$53)*Assets!J24/Assets!$J$50</f>
        <v>17.567900000000002</v>
      </c>
      <c r="I23" s="184"/>
      <c r="J23" s="138">
        <f>I25/$I$66*$E$52*Assets!J24/Assets!J26</f>
        <v>0</v>
      </c>
      <c r="K23" s="138">
        <f>$E$54*Assets!M24/Assets!$M$50</f>
        <v>7.8522414441334742</v>
      </c>
      <c r="L23" s="138">
        <f>$E$57*Assets!M24/Assets!$M$50</f>
        <v>0</v>
      </c>
      <c r="M23" s="138"/>
      <c r="N23" s="138"/>
      <c r="O23" s="148">
        <f t="shared" si="3"/>
        <v>25.420141444133478</v>
      </c>
      <c r="P23" s="208">
        <f>V.Realloc!$K$76*Expenses!O23/(Expenses!O23+Expenses!O29)</f>
        <v>9.8936806499047094</v>
      </c>
    </row>
    <row r="24" spans="2:28" x14ac:dyDescent="0.25">
      <c r="B24" s="162" t="s">
        <v>257</v>
      </c>
      <c r="D24" s="18"/>
      <c r="F24" s="138"/>
      <c r="G24" s="138"/>
      <c r="H24" s="138">
        <f>SUM($E$51,$E$53)*Assets!J25/Assets!$J$50</f>
        <v>3.5135800000000001</v>
      </c>
      <c r="I24" s="184"/>
      <c r="J24" s="138">
        <f>I25/$I$66*$E$52*Assets!J25/Assets!J26</f>
        <v>0</v>
      </c>
      <c r="K24" s="138">
        <f>$E$54*Assets!M25/Assets!$M$50</f>
        <v>1.0876139077636235</v>
      </c>
      <c r="L24" s="138">
        <f>$E$57*Assets!M25/Assets!$M$50</f>
        <v>0</v>
      </c>
      <c r="M24" s="138">
        <f>$E$58*SUMIFS(Customer!$J$12:$J$42,Customer!$G$12:$G$42,"MV",Customer!$F$12:$F$42,"Urban")/Customer!$J$43</f>
        <v>0</v>
      </c>
      <c r="N24" s="138">
        <f>SUM($E$60:$E$63)*SUMIFS(Customer!$J$12:$J$42,Customer!$G$12:$G$42,"MV",Customer!$F$12:$F$42,"Urban")/Customer!$J$43</f>
        <v>0</v>
      </c>
      <c r="O24" s="148">
        <f t="shared" si="3"/>
        <v>4.6011939077636237</v>
      </c>
      <c r="P24" s="148">
        <f>O24</f>
        <v>4.6011939077636237</v>
      </c>
    </row>
    <row r="25" spans="2:28" x14ac:dyDescent="0.25">
      <c r="B25" s="16"/>
      <c r="D25" s="170" t="s">
        <v>226</v>
      </c>
      <c r="E25" s="154"/>
      <c r="F25" s="140">
        <f>SUM(F22:F24)</f>
        <v>0</v>
      </c>
      <c r="G25" s="140">
        <f>SUM(G22:G24)</f>
        <v>0</v>
      </c>
      <c r="H25" s="140">
        <f>SUM(H22:H24)</f>
        <v>21.081480000000003</v>
      </c>
      <c r="I25" s="181">
        <f>RR!$G$74*SUMIFS(Customer!$J$12:$J$42,Customer!$G$12:$G$42,"MV",Customer!$F$12:$F$42,"Urban")/Customer!$J$43</f>
        <v>0</v>
      </c>
      <c r="J25" s="140">
        <f>SUM(J22:J24)</f>
        <v>0</v>
      </c>
      <c r="K25" s="140">
        <f>SUM(K22:K24)</f>
        <v>8.9398553518970978</v>
      </c>
      <c r="L25" s="140">
        <f>SUM(L22:L24)</f>
        <v>0</v>
      </c>
      <c r="M25" s="140">
        <f t="shared" ref="M25:O25" si="4">SUM(M22:M24)</f>
        <v>0</v>
      </c>
      <c r="N25" s="140">
        <f t="shared" si="4"/>
        <v>0</v>
      </c>
      <c r="O25" s="149">
        <f t="shared" si="4"/>
        <v>30.0213353518971</v>
      </c>
      <c r="P25" s="149">
        <f t="shared" ref="P25" si="5">SUM(P22:P24)</f>
        <v>14.494874557668332</v>
      </c>
      <c r="Q25" s="138"/>
      <c r="R25" s="138"/>
      <c r="S25" s="138"/>
      <c r="T25" s="138"/>
      <c r="U25" s="138"/>
      <c r="V25" s="138"/>
      <c r="W25" s="138"/>
      <c r="X25" s="138"/>
      <c r="Y25" s="138"/>
      <c r="Z25" s="138"/>
      <c r="AA25" s="138"/>
      <c r="AB25" s="138"/>
    </row>
    <row r="26" spans="2:28" x14ac:dyDescent="0.25">
      <c r="B26" s="16"/>
      <c r="D26" s="18"/>
      <c r="F26" s="138"/>
      <c r="G26" s="138"/>
      <c r="H26" s="138"/>
      <c r="I26" s="184"/>
      <c r="J26" s="138"/>
      <c r="K26" s="138"/>
      <c r="L26" s="138"/>
      <c r="M26" s="138"/>
      <c r="N26" s="138"/>
      <c r="O26" s="148"/>
      <c r="P26" s="148"/>
    </row>
    <row r="27" spans="2:28" x14ac:dyDescent="0.25">
      <c r="B27" s="117" t="s">
        <v>258</v>
      </c>
      <c r="D27" s="18"/>
      <c r="F27" s="138"/>
      <c r="G27" s="138"/>
      <c r="H27" s="138"/>
      <c r="I27" s="184"/>
      <c r="J27" s="138"/>
      <c r="K27" s="138"/>
      <c r="L27" s="138"/>
      <c r="M27" s="138"/>
      <c r="N27" s="138"/>
      <c r="O27" s="148"/>
      <c r="P27" s="148"/>
    </row>
    <row r="28" spans="2:28" x14ac:dyDescent="0.25">
      <c r="B28" s="161" t="s">
        <v>83</v>
      </c>
      <c r="D28" s="18"/>
      <c r="F28" s="138">
        <f>$E$49*SUMIFS(Customer!$T$12:$T$42,Customer!$G$12:$G$42,"MV",Customer!$F$12:$F$42,"Rural")/Customer!$T$43</f>
        <v>0</v>
      </c>
      <c r="G28" s="138"/>
      <c r="H28" s="138"/>
      <c r="I28" s="184"/>
      <c r="J28" s="138"/>
      <c r="K28" s="138"/>
      <c r="L28" s="138"/>
      <c r="M28" s="138"/>
      <c r="N28" s="138"/>
      <c r="O28" s="148">
        <f t="shared" ref="O28:O30" si="6">SUM(F28,G28,H28,J28,K28,L28,M28)-N28</f>
        <v>0</v>
      </c>
      <c r="P28" s="148">
        <f>O28</f>
        <v>0</v>
      </c>
    </row>
    <row r="29" spans="2:28" x14ac:dyDescent="0.25">
      <c r="B29" s="161" t="s">
        <v>253</v>
      </c>
      <c r="D29" s="18"/>
      <c r="F29" s="138"/>
      <c r="G29" s="138">
        <f>SUM($E$48,$E$50)*SUMIFS(Customer!$V$12:$V$42,Customer!$G$12:$G$42,"MV",Customer!$F$12:$F$42,"Rural")/Customer!$V$43</f>
        <v>0</v>
      </c>
      <c r="H29" s="138">
        <f>SUM($E$51,$E$53)*Assets!J29/Assets!$J$50</f>
        <v>21.081479999999999</v>
      </c>
      <c r="I29" s="184"/>
      <c r="J29" s="138">
        <f>I31/$I$66*$E$52*Assets!J29/Assets!J31</f>
        <v>0</v>
      </c>
      <c r="K29" s="138">
        <f>$E$54*Assets!M29/Assets!$M$50</f>
        <v>20.407171902145027</v>
      </c>
      <c r="L29" s="138">
        <f>$E$57*Assets!M29/Assets!$M$50</f>
        <v>0</v>
      </c>
      <c r="M29" s="138"/>
      <c r="N29" s="138"/>
      <c r="O29" s="148">
        <f t="shared" si="6"/>
        <v>41.488651902145023</v>
      </c>
      <c r="P29" s="208">
        <f>V.Realloc!$K$76*Expenses!O29/(Expenses!O23+Expenses!O29)</f>
        <v>16.147647070217818</v>
      </c>
    </row>
    <row r="30" spans="2:28" x14ac:dyDescent="0.25">
      <c r="B30" s="162" t="s">
        <v>257</v>
      </c>
      <c r="D30" s="18"/>
      <c r="F30" s="138"/>
      <c r="G30" s="138"/>
      <c r="H30" s="138">
        <f>SUM($E$51,$E$53)*Assets!J30/Assets!$J$50</f>
        <v>0</v>
      </c>
      <c r="I30" s="184"/>
      <c r="J30" s="138">
        <f>I31/$I$66*$E$52*Assets!J30/Assets!J31</f>
        <v>0</v>
      </c>
      <c r="K30" s="138">
        <f>$E$54*Assets!M30/Assets!$M$50</f>
        <v>0</v>
      </c>
      <c r="L30" s="138">
        <f>$E$57*Assets!M30/Assets!$M$50</f>
        <v>0</v>
      </c>
      <c r="M30" s="138">
        <f>$E$58*SUMIFS(Customer!$J$12:$J$42,Customer!$G$12:$G$42,"MV",Customer!$F$12:$F$42,"Rural")/Customer!$J$43</f>
        <v>0</v>
      </c>
      <c r="N30" s="138">
        <f>SUM($E$60:$E$63)*SUMIFS(Customer!$J$12:$J$42,Customer!$G$12:$G$42,"MV",Customer!$F$12:$F$42,"Rural")/Customer!$J$43</f>
        <v>0</v>
      </c>
      <c r="O30" s="148">
        <f t="shared" si="6"/>
        <v>0</v>
      </c>
      <c r="P30" s="148">
        <f>O30</f>
        <v>0</v>
      </c>
    </row>
    <row r="31" spans="2:28" x14ac:dyDescent="0.25">
      <c r="B31" s="16"/>
      <c r="D31" s="170" t="s">
        <v>226</v>
      </c>
      <c r="E31" s="154"/>
      <c r="F31" s="140">
        <f>SUM(F28:F30)</f>
        <v>0</v>
      </c>
      <c r="G31" s="140">
        <f>SUM(G28:G30)</f>
        <v>0</v>
      </c>
      <c r="H31" s="140">
        <f>SUM(H28:H30)</f>
        <v>21.081479999999999</v>
      </c>
      <c r="I31" s="181">
        <f>RR!$G$74*SUMIFS(Customer!$J$12:$J$42,Customer!$G$12:$G$42,"MV",Customer!$F$12:$F$42,"Rural")/Customer!$J$43</f>
        <v>0</v>
      </c>
      <c r="J31" s="140">
        <f>SUM(J28:J30)</f>
        <v>0</v>
      </c>
      <c r="K31" s="140">
        <f>SUM(K28:K30)</f>
        <v>20.407171902145027</v>
      </c>
      <c r="L31" s="140">
        <f>SUM(L28:L30)</f>
        <v>0</v>
      </c>
      <c r="M31" s="140">
        <f t="shared" ref="M31:O31" si="7">SUM(M28:M30)</f>
        <v>0</v>
      </c>
      <c r="N31" s="140">
        <f t="shared" si="7"/>
        <v>0</v>
      </c>
      <c r="O31" s="149">
        <f t="shared" si="7"/>
        <v>41.488651902145023</v>
      </c>
      <c r="P31" s="149">
        <f t="shared" ref="P31" si="8">SUM(P28:P30)</f>
        <v>16.147647070217818</v>
      </c>
      <c r="Q31" s="138"/>
      <c r="R31" s="138"/>
      <c r="S31" s="138"/>
      <c r="T31" s="138"/>
      <c r="U31" s="138"/>
      <c r="V31" s="138"/>
      <c r="W31" s="138"/>
      <c r="X31" s="138"/>
      <c r="Y31" s="138"/>
      <c r="Z31" s="138"/>
      <c r="AA31" s="138"/>
      <c r="AB31" s="138"/>
    </row>
    <row r="32" spans="2:28" x14ac:dyDescent="0.25">
      <c r="B32" s="16"/>
      <c r="D32" s="18"/>
      <c r="F32" s="138"/>
      <c r="G32" s="138"/>
      <c r="H32" s="138"/>
      <c r="I32" s="184"/>
      <c r="J32" s="138"/>
      <c r="K32" s="138"/>
      <c r="L32" s="138"/>
      <c r="M32" s="138"/>
      <c r="N32" s="138"/>
      <c r="O32" s="148"/>
      <c r="P32" s="148"/>
    </row>
    <row r="33" spans="2:28" x14ac:dyDescent="0.25">
      <c r="B33" s="117" t="s">
        <v>259</v>
      </c>
      <c r="D33" s="18"/>
      <c r="F33" s="138"/>
      <c r="G33" s="138"/>
      <c r="H33" s="138"/>
      <c r="I33" s="184"/>
      <c r="J33" s="138"/>
      <c r="K33" s="138"/>
      <c r="L33" s="138"/>
      <c r="M33" s="138"/>
      <c r="N33" s="138"/>
      <c r="O33" s="148"/>
      <c r="P33" s="148"/>
    </row>
    <row r="34" spans="2:28" x14ac:dyDescent="0.25">
      <c r="B34" s="161" t="s">
        <v>83</v>
      </c>
      <c r="D34" s="18"/>
      <c r="F34" s="138">
        <f>$E$49*SUMIFS(Customer!$T$12:$T$42,Customer!$G$12:$G$42,"LV",Customer!$F$12:$F$42,"Urban")/Customer!$T$43</f>
        <v>0</v>
      </c>
      <c r="G34" s="138"/>
      <c r="H34" s="138"/>
      <c r="I34" s="184"/>
      <c r="J34" s="138"/>
      <c r="K34" s="138"/>
      <c r="L34" s="138"/>
      <c r="M34" s="138"/>
      <c r="N34" s="138"/>
      <c r="O34" s="148">
        <f t="shared" ref="O34:O36" si="9">SUM(F34,G34,H34,J34,K34,L34,M34)-N34</f>
        <v>0</v>
      </c>
      <c r="P34" s="148">
        <f>O34</f>
        <v>0</v>
      </c>
    </row>
    <row r="35" spans="2:28" x14ac:dyDescent="0.25">
      <c r="B35" s="161" t="s">
        <v>253</v>
      </c>
      <c r="D35" s="18"/>
      <c r="F35" s="138"/>
      <c r="G35" s="138">
        <f>SUM($E$48,$E$50)*SUMIFS(Customer!$V$12:$V$42,Customer!$G$12:$G$42,"LV",Customer!$F$12:$F$42,"Urban")/Customer!$V$43</f>
        <v>0</v>
      </c>
      <c r="H35" s="138">
        <f>SUM($E$51,$E$53)*Assets!J34/Assets!$J$50</f>
        <v>1.5811109999999999</v>
      </c>
      <c r="I35" s="184"/>
      <c r="J35" s="138">
        <f>I37/$I$66*$E$52*Assets!J34/Assets!J36</f>
        <v>0</v>
      </c>
      <c r="K35" s="138">
        <f>$E$54*Assets!M34/Assets!$M$50</f>
        <v>0.64031200257583998</v>
      </c>
      <c r="L35" s="138">
        <f>$E$57*Assets!M34/Assets!$M$50</f>
        <v>0</v>
      </c>
      <c r="M35" s="138"/>
      <c r="N35" s="138"/>
      <c r="O35" s="148">
        <f t="shared" si="9"/>
        <v>2.2214230025758397</v>
      </c>
      <c r="P35" s="208">
        <f>V.Realloc!$K$77*Expenses!O35/(Expenses!O35+Expenses!O41)</f>
        <v>85.265899018545426</v>
      </c>
    </row>
    <row r="36" spans="2:28" x14ac:dyDescent="0.25">
      <c r="B36" s="162" t="s">
        <v>260</v>
      </c>
      <c r="D36" s="18"/>
      <c r="F36" s="138"/>
      <c r="G36" s="138"/>
      <c r="H36" s="138">
        <f>SUM($E$51,$E$53)*Assets!J35/Assets!$J$50</f>
        <v>3.5135800000000001</v>
      </c>
      <c r="I36" s="184"/>
      <c r="J36" s="138">
        <f>I37/$I$66*$E$52*Assets!J35/Assets!J36</f>
        <v>0</v>
      </c>
      <c r="K36" s="138">
        <f>$E$54*Assets!M35/Assets!$M$50</f>
        <v>1.0876139077636235</v>
      </c>
      <c r="L36" s="138">
        <f>$E$57*Assets!M35/Assets!$M$50</f>
        <v>0</v>
      </c>
      <c r="M36" s="138">
        <f>$E$58*SUMIFS(Customer!$J$12:$J$42,Customer!$G$12:$G$42,"LV",Customer!$F$12:$F$42,"Urban")/Customer!$J$43</f>
        <v>0</v>
      </c>
      <c r="N36" s="138">
        <f>SUM($E$60:$E$63)*SUMIFS(Customer!$J$12:$J$42,Customer!$G$12:$G$42,"LV",Customer!$F$12:$F$42,"Urban")/Customer!$J$43</f>
        <v>0</v>
      </c>
      <c r="O36" s="148">
        <f t="shared" si="9"/>
        <v>4.6011939077636237</v>
      </c>
      <c r="P36" s="148">
        <f>O36</f>
        <v>4.6011939077636237</v>
      </c>
    </row>
    <row r="37" spans="2:28" x14ac:dyDescent="0.25">
      <c r="B37" s="16"/>
      <c r="D37" s="170" t="s">
        <v>226</v>
      </c>
      <c r="E37" s="154"/>
      <c r="F37" s="140">
        <f>SUM(F34:F36)</f>
        <v>0</v>
      </c>
      <c r="G37" s="140">
        <f>SUM(G34:G36)</f>
        <v>0</v>
      </c>
      <c r="H37" s="140">
        <f>SUM(H34:H36)</f>
        <v>5.0946910000000001</v>
      </c>
      <c r="I37" s="181">
        <f>RR!$G$74*SUMIFS(Customer!$J$12:$J$42,Customer!$G$12:$G$42,"LV",Customer!$F$12:$F$42,"Urban")/Customer!$J$43</f>
        <v>0</v>
      </c>
      <c r="J37" s="140">
        <f>SUM(J34:J36)</f>
        <v>0</v>
      </c>
      <c r="K37" s="140">
        <f>SUM(K34:K36)</f>
        <v>1.7279259103394635</v>
      </c>
      <c r="L37" s="140">
        <f>SUM(L34:L36)</f>
        <v>0</v>
      </c>
      <c r="M37" s="140">
        <f t="shared" ref="M37:O37" si="10">SUM(M34:M36)</f>
        <v>0</v>
      </c>
      <c r="N37" s="140">
        <f t="shared" si="10"/>
        <v>0</v>
      </c>
      <c r="O37" s="149">
        <f t="shared" si="10"/>
        <v>6.8226169103394634</v>
      </c>
      <c r="P37" s="149">
        <f t="shared" ref="P37" si="11">SUM(P34:P36)</f>
        <v>89.867092926309056</v>
      </c>
      <c r="Q37" s="138"/>
      <c r="R37" s="138"/>
      <c r="S37" s="138"/>
      <c r="T37" s="138"/>
      <c r="U37" s="138"/>
      <c r="V37" s="138"/>
      <c r="W37" s="138"/>
      <c r="X37" s="138"/>
      <c r="Y37" s="138"/>
      <c r="Z37" s="138"/>
      <c r="AA37" s="138"/>
      <c r="AB37" s="138"/>
    </row>
    <row r="38" spans="2:28" x14ac:dyDescent="0.25">
      <c r="B38" s="16"/>
      <c r="D38" s="18"/>
      <c r="F38" s="138"/>
      <c r="G38" s="138"/>
      <c r="H38" s="138"/>
      <c r="I38" s="138"/>
      <c r="J38" s="138"/>
      <c r="K38" s="138"/>
      <c r="L38" s="138"/>
      <c r="M38" s="138"/>
      <c r="N38" s="138"/>
      <c r="O38" s="148"/>
      <c r="P38" s="148"/>
    </row>
    <row r="39" spans="2:28" x14ac:dyDescent="0.25">
      <c r="B39" s="117" t="s">
        <v>261</v>
      </c>
      <c r="D39" s="18"/>
      <c r="F39" s="138"/>
      <c r="G39" s="138"/>
      <c r="H39" s="138"/>
      <c r="I39" s="138"/>
      <c r="J39" s="138"/>
      <c r="K39" s="138"/>
      <c r="L39" s="138"/>
      <c r="M39" s="138"/>
      <c r="N39" s="138"/>
      <c r="O39" s="148"/>
      <c r="P39" s="148"/>
    </row>
    <row r="40" spans="2:28" x14ac:dyDescent="0.25">
      <c r="B40" s="161" t="s">
        <v>83</v>
      </c>
      <c r="D40" s="18"/>
      <c r="F40" s="138">
        <f>$E$49*SUMIFS(Customer!$T$12:$T$42,Customer!$G$12:$G$42,"LV",Customer!$F$12:$F$42,"Rural")/Customer!$T$43</f>
        <v>0</v>
      </c>
      <c r="G40" s="138"/>
      <c r="H40" s="138"/>
      <c r="I40" s="138"/>
      <c r="J40" s="138"/>
      <c r="K40" s="138"/>
      <c r="L40" s="138"/>
      <c r="M40" s="138"/>
      <c r="N40" s="138"/>
      <c r="O40" s="148">
        <f t="shared" ref="O40:O42" si="12">SUM(F40,G40,H40,J40,K40,L40,M40)-N40</f>
        <v>0</v>
      </c>
      <c r="P40" s="148">
        <f>O40</f>
        <v>0</v>
      </c>
    </row>
    <row r="41" spans="2:28" x14ac:dyDescent="0.25">
      <c r="B41" s="161" t="s">
        <v>256</v>
      </c>
      <c r="D41" s="18"/>
      <c r="F41" s="138"/>
      <c r="G41" s="138">
        <f>SUM($E$48,$E$50)*SUMIFS(Customer!$V$12:$V$42,Customer!$G$12:$G$42,"LV",Customer!$F$12:$F$42,"Rural")/Customer!$V$43</f>
        <v>0</v>
      </c>
      <c r="H41" s="138">
        <f>SUM($E$51,$E$53)*Assets!J39/Assets!$J$50</f>
        <v>5.2703699999999998</v>
      </c>
      <c r="I41" s="138"/>
      <c r="J41" s="138">
        <f>I43/$I$66*$E$52*Assets!J39/Assets!J41</f>
        <v>0</v>
      </c>
      <c r="K41" s="138">
        <f>$E$54*Assets!M39/Assets!$M$50</f>
        <v>0.1225634208233374</v>
      </c>
      <c r="L41" s="138">
        <f>$E$57*Assets!M39/Assets!$M$50</f>
        <v>0</v>
      </c>
      <c r="M41" s="138"/>
      <c r="N41" s="138"/>
      <c r="O41" s="148">
        <f t="shared" si="12"/>
        <v>5.3929334208233373</v>
      </c>
      <c r="P41" s="208">
        <f>V.Realloc!$K$77*Expenses!O41/(Expenses!O35+Expenses!O41)</f>
        <v>206.99943952163275</v>
      </c>
    </row>
    <row r="42" spans="2:28" x14ac:dyDescent="0.25">
      <c r="B42" s="162" t="s">
        <v>257</v>
      </c>
      <c r="D42" s="18"/>
      <c r="F42" s="138"/>
      <c r="G42" s="138"/>
      <c r="H42" s="138">
        <f>SUM($E$51,$E$53)*Assets!J40/Assets!$J$50</f>
        <v>0</v>
      </c>
      <c r="I42" s="138"/>
      <c r="J42" s="138">
        <f>I43/$I$66*$E$52*Assets!J40/Assets!J41</f>
        <v>0</v>
      </c>
      <c r="K42" s="138">
        <f>$E$54*Assets!M40/Assets!$M$50</f>
        <v>0</v>
      </c>
      <c r="L42" s="138">
        <f>$E$57*Assets!M40/Assets!$M$50</f>
        <v>0</v>
      </c>
      <c r="M42" s="138">
        <f>$E$58*SUMIFS(Customer!$J$12:$J$42,Customer!$G$12:$G$42,"LV",Customer!$F$12:$F$42,"Rural")/Customer!$J$43</f>
        <v>0</v>
      </c>
      <c r="N42" s="138">
        <f>SUM($E$60:$E$63)*SUMIFS(Customer!$J$12:$J$42,Customer!$G$12:$G$42,"LV",Customer!$F$12:$F$42,"Rural")/Customer!$J$43</f>
        <v>0</v>
      </c>
      <c r="O42" s="148">
        <f t="shared" si="12"/>
        <v>0</v>
      </c>
      <c r="P42" s="148">
        <f>O42</f>
        <v>0</v>
      </c>
    </row>
    <row r="43" spans="2:28" x14ac:dyDescent="0.25">
      <c r="B43" s="16"/>
      <c r="D43" s="170" t="s">
        <v>226</v>
      </c>
      <c r="E43" s="154"/>
      <c r="F43" s="140">
        <f>SUM(F40:F42)</f>
        <v>0</v>
      </c>
      <c r="G43" s="140">
        <f>SUM(G40:G42)</f>
        <v>0</v>
      </c>
      <c r="H43" s="140">
        <f>SUM(H40:H42)</f>
        <v>5.2703699999999998</v>
      </c>
      <c r="I43" s="181">
        <f>RR!$G$74*SUMIFS(Customer!$J$12:$J$42,Customer!$G$12:$G$42,"LV",Customer!$F$12:$F$42,"Rural")/Customer!$J$43</f>
        <v>0</v>
      </c>
      <c r="J43" s="140">
        <f>SUM(J40:J42)</f>
        <v>0</v>
      </c>
      <c r="K43" s="140">
        <f>SUM(K40:K42)</f>
        <v>0.1225634208233374</v>
      </c>
      <c r="L43" s="140">
        <f>SUM(L40:L42)</f>
        <v>0</v>
      </c>
      <c r="M43" s="140">
        <f t="shared" ref="M43:O43" si="13">SUM(M40:M42)</f>
        <v>0</v>
      </c>
      <c r="N43" s="140">
        <f t="shared" si="13"/>
        <v>0</v>
      </c>
      <c r="O43" s="149">
        <f t="shared" si="13"/>
        <v>5.3929334208233373</v>
      </c>
      <c r="P43" s="149">
        <f t="shared" ref="P43" si="14">SUM(P40:P42)</f>
        <v>206.99943952163275</v>
      </c>
      <c r="Q43" s="138"/>
      <c r="R43" s="138"/>
      <c r="S43" s="138"/>
      <c r="T43" s="138"/>
      <c r="U43" s="138"/>
      <c r="V43" s="138"/>
      <c r="W43" s="138"/>
      <c r="X43" s="138"/>
      <c r="Y43" s="138"/>
      <c r="Z43" s="138"/>
      <c r="AA43" s="138"/>
      <c r="AB43" s="138"/>
    </row>
    <row r="44" spans="2:28" x14ac:dyDescent="0.25">
      <c r="B44" s="16"/>
      <c r="D44" s="18"/>
      <c r="F44" s="138"/>
      <c r="G44" s="138"/>
      <c r="H44" s="138"/>
      <c r="I44" s="138"/>
      <c r="J44" s="138"/>
      <c r="K44" s="138"/>
      <c r="L44" s="138"/>
      <c r="M44" s="138"/>
      <c r="N44" s="138"/>
      <c r="O44" s="148"/>
      <c r="P44" s="148"/>
    </row>
    <row r="45" spans="2:28" x14ac:dyDescent="0.25">
      <c r="B45" s="146" t="s">
        <v>233</v>
      </c>
      <c r="D45" s="18"/>
      <c r="F45" s="138"/>
      <c r="G45" s="138"/>
      <c r="H45" s="138"/>
      <c r="I45" s="138"/>
      <c r="J45" s="138"/>
      <c r="K45" s="138"/>
      <c r="L45" s="138"/>
      <c r="M45" s="138"/>
      <c r="N45" s="138"/>
      <c r="O45" s="148"/>
      <c r="P45" s="148"/>
    </row>
    <row r="46" spans="2:28" x14ac:dyDescent="0.25">
      <c r="B46" s="77" t="s">
        <v>262</v>
      </c>
      <c r="C46" s="185"/>
      <c r="D46" s="171"/>
      <c r="E46" s="138">
        <f>RR!G10</f>
        <v>69.063000000000002</v>
      </c>
      <c r="F46" s="138">
        <f>-E46</f>
        <v>-69.063000000000002</v>
      </c>
      <c r="G46" s="138"/>
      <c r="H46" s="138"/>
      <c r="I46" s="138"/>
      <c r="J46" s="138"/>
      <c r="K46" s="138"/>
      <c r="L46" s="138"/>
      <c r="M46" s="138"/>
      <c r="N46" s="138"/>
      <c r="O46" s="148"/>
      <c r="P46" s="148"/>
    </row>
    <row r="47" spans="2:28" x14ac:dyDescent="0.25">
      <c r="B47" s="77" t="s">
        <v>263</v>
      </c>
      <c r="C47" s="185"/>
      <c r="D47" s="171"/>
      <c r="E47" s="138">
        <f>RR!G11</f>
        <v>681.37</v>
      </c>
      <c r="F47" s="138">
        <f t="shared" ref="F47:N47" si="15">F48+F49</f>
        <v>-170.3425</v>
      </c>
      <c r="G47" s="138">
        <f t="shared" si="15"/>
        <v>-511.02750000000003</v>
      </c>
      <c r="H47" s="138">
        <f t="shared" si="15"/>
        <v>0</v>
      </c>
      <c r="I47" s="138">
        <f t="shared" si="15"/>
        <v>0</v>
      </c>
      <c r="J47" s="138">
        <f t="shared" si="15"/>
        <v>0</v>
      </c>
      <c r="K47" s="138">
        <f t="shared" si="15"/>
        <v>0</v>
      </c>
      <c r="L47" s="138">
        <f t="shared" si="15"/>
        <v>0</v>
      </c>
      <c r="M47" s="138">
        <f t="shared" si="15"/>
        <v>0</v>
      </c>
      <c r="N47" s="138">
        <f t="shared" si="15"/>
        <v>0</v>
      </c>
      <c r="O47" s="148"/>
      <c r="P47" s="148"/>
    </row>
    <row r="48" spans="2:28" x14ac:dyDescent="0.25">
      <c r="B48" s="163" t="s">
        <v>264</v>
      </c>
      <c r="C48" s="185"/>
      <c r="D48" s="171"/>
      <c r="E48" s="138">
        <f>RR!G12</f>
        <v>511.02750000000003</v>
      </c>
      <c r="F48" s="138"/>
      <c r="G48" s="138">
        <f>-E48</f>
        <v>-511.02750000000003</v>
      </c>
      <c r="H48" s="138"/>
      <c r="I48" s="138"/>
      <c r="J48" s="138"/>
      <c r="K48" s="138"/>
      <c r="L48" s="138"/>
      <c r="M48" s="138"/>
      <c r="N48" s="138"/>
      <c r="O48" s="148"/>
      <c r="P48" s="148"/>
    </row>
    <row r="49" spans="2:28" x14ac:dyDescent="0.25">
      <c r="B49" s="163" t="s">
        <v>265</v>
      </c>
      <c r="C49" s="185"/>
      <c r="D49" s="171"/>
      <c r="E49" s="138">
        <f>RR!G13</f>
        <v>170.3425</v>
      </c>
      <c r="F49" s="138">
        <f>-E49</f>
        <v>-170.3425</v>
      </c>
      <c r="G49" s="138"/>
      <c r="H49" s="138"/>
      <c r="I49" s="138"/>
      <c r="J49" s="138"/>
      <c r="K49" s="138"/>
      <c r="L49" s="138"/>
      <c r="M49" s="138"/>
      <c r="N49" s="138"/>
      <c r="O49" s="148"/>
      <c r="P49" s="148"/>
    </row>
    <row r="50" spans="2:28" x14ac:dyDescent="0.25">
      <c r="B50" s="77" t="s">
        <v>266</v>
      </c>
      <c r="C50" s="185"/>
      <c r="D50" s="171"/>
      <c r="E50" s="138">
        <f>RR!G14</f>
        <v>0</v>
      </c>
      <c r="F50" s="138"/>
      <c r="G50" s="138">
        <f>-E50</f>
        <v>0</v>
      </c>
      <c r="H50" s="138"/>
      <c r="I50" s="138"/>
      <c r="J50" s="138"/>
      <c r="K50" s="138"/>
      <c r="L50" s="138"/>
      <c r="M50" s="138"/>
      <c r="N50" s="138"/>
      <c r="O50" s="148"/>
      <c r="P50" s="148"/>
    </row>
    <row r="51" spans="2:28" x14ac:dyDescent="0.25">
      <c r="B51" s="77" t="s">
        <v>267</v>
      </c>
      <c r="C51" s="185"/>
      <c r="D51" s="171"/>
      <c r="E51" s="138">
        <f>RR!G15</f>
        <v>45.035999999999994</v>
      </c>
      <c r="F51" s="138"/>
      <c r="G51" s="138"/>
      <c r="H51" s="138">
        <f>-E51</f>
        <v>-45.035999999999994</v>
      </c>
      <c r="I51" s="138"/>
      <c r="J51" s="138"/>
      <c r="K51" s="138"/>
      <c r="L51" s="138"/>
      <c r="M51" s="138"/>
      <c r="N51" s="138"/>
      <c r="O51" s="148"/>
      <c r="P51" s="148"/>
    </row>
    <row r="52" spans="2:28" x14ac:dyDescent="0.25">
      <c r="B52" s="77" t="s">
        <v>245</v>
      </c>
      <c r="C52" s="185"/>
      <c r="D52" s="171"/>
      <c r="E52" s="138">
        <f>RR!G16</f>
        <v>334.36099999999999</v>
      </c>
      <c r="F52" s="138"/>
      <c r="G52" s="138"/>
      <c r="H52" s="138"/>
      <c r="I52" s="138"/>
      <c r="J52" s="138">
        <f>-E52</f>
        <v>-334.36099999999999</v>
      </c>
      <c r="K52" s="138"/>
      <c r="L52" s="138"/>
      <c r="M52" s="138"/>
      <c r="N52" s="138"/>
      <c r="O52" s="148"/>
      <c r="P52" s="148"/>
    </row>
    <row r="53" spans="2:28" x14ac:dyDescent="0.25">
      <c r="B53" s="77" t="s">
        <v>268</v>
      </c>
      <c r="C53" s="185"/>
      <c r="D53" s="171"/>
      <c r="E53" s="138">
        <f>RR!G17</f>
        <v>130.64300000000003</v>
      </c>
      <c r="F53" s="138"/>
      <c r="G53" s="138"/>
      <c r="H53" s="138">
        <f>-E53</f>
        <v>-130.64300000000003</v>
      </c>
      <c r="I53" s="138"/>
      <c r="J53" s="138"/>
      <c r="K53" s="138"/>
      <c r="L53" s="138"/>
      <c r="M53" s="138"/>
      <c r="N53" s="138"/>
      <c r="O53" s="148"/>
      <c r="P53" s="148"/>
    </row>
    <row r="54" spans="2:28" x14ac:dyDescent="0.25">
      <c r="B54" s="77" t="s">
        <v>246</v>
      </c>
      <c r="C54" s="185"/>
      <c r="D54" s="171"/>
      <c r="E54" s="138">
        <f>RR!G18</f>
        <v>175.08929065394892</v>
      </c>
      <c r="F54" s="138">
        <f>F55-F56</f>
        <v>0</v>
      </c>
      <c r="G54" s="138">
        <f t="shared" ref="G54:N54" si="16">G55-G56</f>
        <v>0</v>
      </c>
      <c r="H54" s="138">
        <f t="shared" si="16"/>
        <v>0</v>
      </c>
      <c r="I54" s="138">
        <f t="shared" si="16"/>
        <v>0</v>
      </c>
      <c r="J54" s="138">
        <f t="shared" si="16"/>
        <v>0</v>
      </c>
      <c r="K54" s="138">
        <f t="shared" si="16"/>
        <v>-175.08929065394892</v>
      </c>
      <c r="L54" s="138">
        <f t="shared" si="16"/>
        <v>0</v>
      </c>
      <c r="M54" s="138">
        <f t="shared" si="16"/>
        <v>0</v>
      </c>
      <c r="N54" s="138">
        <f t="shared" si="16"/>
        <v>0</v>
      </c>
      <c r="O54" s="148"/>
      <c r="P54" s="148"/>
    </row>
    <row r="55" spans="2:28" x14ac:dyDescent="0.25">
      <c r="B55" s="166" t="s">
        <v>269</v>
      </c>
      <c r="C55" s="17"/>
      <c r="D55" s="172"/>
      <c r="E55" s="138">
        <f>RR!G19</f>
        <v>199.63800000000001</v>
      </c>
      <c r="F55" s="138"/>
      <c r="G55" s="138"/>
      <c r="H55" s="138"/>
      <c r="I55" s="138"/>
      <c r="J55" s="138"/>
      <c r="K55" s="138">
        <f>-E55</f>
        <v>-199.63800000000001</v>
      </c>
      <c r="L55" s="138"/>
      <c r="M55" s="138"/>
      <c r="N55" s="138"/>
      <c r="O55" s="148"/>
      <c r="P55" s="148"/>
    </row>
    <row r="56" spans="2:28" x14ac:dyDescent="0.25">
      <c r="B56" s="166" t="s">
        <v>270</v>
      </c>
      <c r="C56" s="17"/>
      <c r="D56" s="172"/>
      <c r="E56" s="138">
        <f>RR!G20</f>
        <v>24.548709346051073</v>
      </c>
      <c r="F56" s="138"/>
      <c r="G56" s="138"/>
      <c r="H56" s="138"/>
      <c r="I56" s="138"/>
      <c r="J56" s="138"/>
      <c r="K56" s="138">
        <f>-E56</f>
        <v>-24.548709346051073</v>
      </c>
      <c r="L56" s="138"/>
      <c r="M56" s="138"/>
      <c r="N56" s="138"/>
      <c r="O56" s="148"/>
      <c r="P56" s="148"/>
    </row>
    <row r="57" spans="2:28" x14ac:dyDescent="0.25">
      <c r="B57" s="77" t="s">
        <v>271</v>
      </c>
      <c r="C57" s="185"/>
      <c r="D57" s="171"/>
      <c r="E57" s="138">
        <f>RR!G21</f>
        <v>0</v>
      </c>
      <c r="F57" s="138"/>
      <c r="G57" s="138"/>
      <c r="H57" s="138"/>
      <c r="I57" s="138"/>
      <c r="J57" s="138"/>
      <c r="K57" s="138">
        <f>-D57</f>
        <v>0</v>
      </c>
      <c r="L57" s="138">
        <f>-E57</f>
        <v>0</v>
      </c>
      <c r="M57" s="138">
        <f>-F57</f>
        <v>0</v>
      </c>
      <c r="N57" s="138">
        <f>-G57</f>
        <v>0</v>
      </c>
      <c r="O57" s="148"/>
      <c r="P57" s="148"/>
    </row>
    <row r="58" spans="2:28" x14ac:dyDescent="0.25">
      <c r="B58" s="77" t="s">
        <v>95</v>
      </c>
      <c r="C58" s="185"/>
      <c r="D58" s="171"/>
      <c r="E58" s="138">
        <f>RR!G22</f>
        <v>11.093</v>
      </c>
      <c r="F58" s="138"/>
      <c r="G58" s="138"/>
      <c r="H58" s="138"/>
      <c r="I58" s="138"/>
      <c r="J58" s="138"/>
      <c r="K58" s="138"/>
      <c r="L58" s="138"/>
      <c r="M58" s="138">
        <f>-E58</f>
        <v>-11.093</v>
      </c>
      <c r="N58" s="138"/>
      <c r="O58" s="148"/>
      <c r="P58" s="148"/>
    </row>
    <row r="59" spans="2:28" x14ac:dyDescent="0.25">
      <c r="B59" s="165" t="s">
        <v>272</v>
      </c>
      <c r="C59" s="185"/>
      <c r="D59" s="171"/>
      <c r="F59" s="138"/>
      <c r="G59" s="138"/>
      <c r="H59" s="138"/>
      <c r="I59" s="138"/>
      <c r="J59" s="138"/>
      <c r="K59" s="138"/>
      <c r="L59" s="138"/>
      <c r="M59" s="138"/>
      <c r="N59" s="138"/>
      <c r="O59" s="148"/>
      <c r="P59" s="148"/>
    </row>
    <row r="60" spans="2:28" x14ac:dyDescent="0.25">
      <c r="B60" s="164" t="s">
        <v>273</v>
      </c>
      <c r="C60" s="185"/>
      <c r="D60" s="171"/>
      <c r="E60" s="138">
        <f>RR!G25</f>
        <v>21.45</v>
      </c>
      <c r="F60" s="138"/>
      <c r="G60" s="138"/>
      <c r="H60" s="138"/>
      <c r="I60" s="138"/>
      <c r="J60" s="138"/>
      <c r="K60" s="138"/>
      <c r="L60" s="138"/>
      <c r="M60" s="138"/>
      <c r="N60" s="138">
        <f>E60</f>
        <v>21.45</v>
      </c>
      <c r="O60" s="148"/>
      <c r="P60" s="148"/>
    </row>
    <row r="61" spans="2:28" x14ac:dyDescent="0.25">
      <c r="B61" s="164" t="s">
        <v>96</v>
      </c>
      <c r="C61" s="185"/>
      <c r="D61" s="171"/>
      <c r="E61" s="138">
        <f>RR!G26</f>
        <v>1.784</v>
      </c>
      <c r="F61" s="138"/>
      <c r="G61" s="138"/>
      <c r="H61" s="138"/>
      <c r="I61" s="138"/>
      <c r="J61" s="138"/>
      <c r="K61" s="138"/>
      <c r="L61" s="138"/>
      <c r="M61" s="138"/>
      <c r="N61" s="138">
        <f t="shared" ref="N61:N63" si="17">E61</f>
        <v>1.784</v>
      </c>
      <c r="O61" s="148"/>
      <c r="P61" s="148"/>
    </row>
    <row r="62" spans="2:28" x14ac:dyDescent="0.25">
      <c r="B62" s="164" t="s">
        <v>274</v>
      </c>
      <c r="C62" s="185"/>
      <c r="D62" s="171"/>
      <c r="E62" s="138">
        <f>RR!G27</f>
        <v>0</v>
      </c>
      <c r="F62" s="138"/>
      <c r="G62" s="138"/>
      <c r="H62" s="138"/>
      <c r="I62" s="138"/>
      <c r="J62" s="138"/>
      <c r="K62" s="138"/>
      <c r="L62" s="138"/>
      <c r="M62" s="138"/>
      <c r="N62" s="138">
        <f t="shared" si="17"/>
        <v>0</v>
      </c>
      <c r="O62" s="148"/>
      <c r="P62" s="148"/>
    </row>
    <row r="63" spans="2:28" x14ac:dyDescent="0.25">
      <c r="B63" s="164" t="s">
        <v>275</v>
      </c>
      <c r="C63" s="185"/>
      <c r="D63" s="171"/>
      <c r="E63" s="138">
        <f>RR!G28</f>
        <v>0</v>
      </c>
      <c r="F63" s="138"/>
      <c r="G63" s="138"/>
      <c r="H63" s="138"/>
      <c r="I63" s="138"/>
      <c r="J63" s="138"/>
      <c r="K63" s="138"/>
      <c r="L63" s="138"/>
      <c r="M63" s="138"/>
      <c r="N63" s="138">
        <f t="shared" si="17"/>
        <v>0</v>
      </c>
      <c r="O63" s="148"/>
      <c r="P63" s="148"/>
    </row>
    <row r="64" spans="2:28" x14ac:dyDescent="0.25">
      <c r="B64" s="16"/>
      <c r="D64" s="170" t="s">
        <v>55</v>
      </c>
      <c r="E64" s="154">
        <f t="shared" ref="E64:L64" si="18">SUM(E46,E47,E50:E54,E57:E58)-SUM(E60:E63)</f>
        <v>1423.421290653949</v>
      </c>
      <c r="F64" s="140">
        <f t="shared" si="18"/>
        <v>-239.40550000000002</v>
      </c>
      <c r="G64" s="140">
        <f t="shared" si="18"/>
        <v>-511.02750000000003</v>
      </c>
      <c r="H64" s="140">
        <f t="shared" si="18"/>
        <v>-175.67900000000003</v>
      </c>
      <c r="I64" s="140">
        <f t="shared" si="18"/>
        <v>0</v>
      </c>
      <c r="J64" s="140">
        <f t="shared" si="18"/>
        <v>-334.36099999999999</v>
      </c>
      <c r="K64" s="140">
        <f t="shared" si="18"/>
        <v>-175.08929065394892</v>
      </c>
      <c r="L64" s="140">
        <f t="shared" si="18"/>
        <v>0</v>
      </c>
      <c r="M64" s="140">
        <f t="shared" ref="M64:N64" si="19">SUM(M46,M47,M50:M54,M57:M58)-SUM(M60:M63)</f>
        <v>-11.093</v>
      </c>
      <c r="N64" s="140">
        <f t="shared" si="19"/>
        <v>-23.233999999999998</v>
      </c>
      <c r="O64" s="149"/>
      <c r="P64" s="149"/>
      <c r="Q64" s="138"/>
      <c r="R64" s="138"/>
      <c r="S64" s="138"/>
      <c r="T64" s="138"/>
      <c r="U64" s="138"/>
      <c r="V64" s="138"/>
      <c r="W64" s="138"/>
      <c r="X64" s="138"/>
      <c r="Y64" s="138"/>
      <c r="Z64" s="138"/>
      <c r="AA64" s="138"/>
      <c r="AB64" s="138"/>
    </row>
    <row r="65" spans="2:28" x14ac:dyDescent="0.25">
      <c r="B65" s="118"/>
      <c r="D65" s="18"/>
      <c r="F65" s="138"/>
      <c r="G65" s="138"/>
      <c r="H65" s="138"/>
      <c r="I65" s="138"/>
      <c r="J65" s="138"/>
      <c r="K65" s="138"/>
      <c r="L65" s="138"/>
      <c r="M65" s="138"/>
      <c r="N65" s="138"/>
      <c r="O65" s="148"/>
      <c r="P65" s="148"/>
    </row>
    <row r="66" spans="2:28" x14ac:dyDescent="0.25">
      <c r="B66" s="150"/>
      <c r="C66" s="139"/>
      <c r="D66" s="155" t="s">
        <v>52</v>
      </c>
      <c r="E66" s="173">
        <f t="shared" ref="E66:L66" si="20">SUM(E14,E19,E25,E31,E37,E43,E64)</f>
        <v>1423.421290653949</v>
      </c>
      <c r="F66" s="174">
        <f t="shared" si="20"/>
        <v>-108.17550044414133</v>
      </c>
      <c r="G66" s="174">
        <f t="shared" si="20"/>
        <v>-359.49859250084046</v>
      </c>
      <c r="H66" s="174">
        <f t="shared" si="20"/>
        <v>0</v>
      </c>
      <c r="I66" s="174">
        <f t="shared" si="20"/>
        <v>650</v>
      </c>
      <c r="J66" s="174">
        <f t="shared" si="20"/>
        <v>0</v>
      </c>
      <c r="K66" s="174">
        <f t="shared" si="20"/>
        <v>0</v>
      </c>
      <c r="L66" s="174">
        <f t="shared" si="20"/>
        <v>0</v>
      </c>
      <c r="M66" s="174">
        <f t="shared" ref="M66:P66" si="21">SUM(M14,M19,M25,M31,M37,M43,M64)</f>
        <v>-11.092664889460211</v>
      </c>
      <c r="N66" s="174">
        <f t="shared" si="21"/>
        <v>-23.233298119689763</v>
      </c>
      <c r="O66" s="186">
        <f t="shared" si="21"/>
        <v>967.88783093919653</v>
      </c>
      <c r="P66" s="186">
        <f t="shared" si="21"/>
        <v>967.88783093919676</v>
      </c>
      <c r="Q66" s="188"/>
      <c r="R66" s="188"/>
      <c r="S66" s="188"/>
      <c r="T66" s="188"/>
      <c r="U66" s="188"/>
      <c r="V66" s="188"/>
      <c r="W66" s="188"/>
      <c r="X66" s="188"/>
      <c r="Y66" s="188"/>
      <c r="Z66" s="188"/>
      <c r="AA66" s="188"/>
      <c r="AB66" s="188"/>
    </row>
  </sheetData>
  <mergeCells count="5">
    <mergeCell ref="E7:E9"/>
    <mergeCell ref="F7:N7"/>
    <mergeCell ref="O7:O9"/>
    <mergeCell ref="B7:D9"/>
    <mergeCell ref="P7:P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Z108"/>
  <sheetViews>
    <sheetView showGridLines="0" zoomScale="120" zoomScaleNormal="120" workbookViewId="0">
      <selection activeCell="C14" sqref="C14:K15"/>
    </sheetView>
  </sheetViews>
  <sheetFormatPr defaultColWidth="9.1796875" defaultRowHeight="10.5" x14ac:dyDescent="0.25"/>
  <cols>
    <col min="1" max="1" width="4.54296875" style="1" customWidth="1"/>
    <col min="2" max="2" width="21.81640625" style="1" customWidth="1"/>
    <col min="3" max="16384" width="9.1796875" style="1"/>
  </cols>
  <sheetData>
    <row r="2" spans="2:26" x14ac:dyDescent="0.25">
      <c r="F2" s="4" t="s">
        <v>276</v>
      </c>
    </row>
    <row r="3" spans="2:26" ht="12.5" x14ac:dyDescent="0.3">
      <c r="F3" s="5" t="s">
        <v>2</v>
      </c>
    </row>
    <row r="4" spans="2:26" ht="12.5" x14ac:dyDescent="0.3">
      <c r="F4" s="5" t="s">
        <v>117</v>
      </c>
    </row>
    <row r="6" spans="2:26" s="190" customFormat="1" ht="11.25" customHeight="1" x14ac:dyDescent="0.35">
      <c r="B6" s="265" t="s">
        <v>58</v>
      </c>
      <c r="C6" s="189"/>
      <c r="D6" s="189"/>
      <c r="E6" s="189"/>
      <c r="F6" s="189"/>
      <c r="G6" s="189"/>
      <c r="H6" s="189"/>
      <c r="I6" s="189"/>
      <c r="J6" s="189"/>
      <c r="K6" s="189"/>
    </row>
    <row r="7" spans="2:26" s="190" customFormat="1" ht="11.25" customHeight="1" x14ac:dyDescent="0.35">
      <c r="B7" s="266" t="s">
        <v>446</v>
      </c>
      <c r="C7" s="189"/>
      <c r="D7" s="189"/>
      <c r="E7" s="189"/>
      <c r="F7" s="189"/>
      <c r="G7" s="189"/>
      <c r="H7" s="189"/>
      <c r="I7" s="189"/>
      <c r="J7" s="189"/>
      <c r="K7" s="189"/>
    </row>
    <row r="8" spans="2:26" s="190" customFormat="1" ht="11.25" customHeight="1" x14ac:dyDescent="0.35">
      <c r="B8" s="266" t="s">
        <v>277</v>
      </c>
      <c r="C8" s="189"/>
      <c r="D8" s="189"/>
      <c r="E8" s="189"/>
      <c r="F8" s="189"/>
      <c r="G8" s="189"/>
      <c r="H8" s="189"/>
      <c r="I8" s="189"/>
      <c r="J8" s="189"/>
      <c r="K8" s="189"/>
    </row>
    <row r="9" spans="2:26" s="190" customFormat="1" ht="11.25" customHeight="1" x14ac:dyDescent="0.35">
      <c r="B9" s="266" t="s">
        <v>278</v>
      </c>
      <c r="C9" s="189"/>
      <c r="D9" s="189"/>
      <c r="E9" s="189"/>
      <c r="F9" s="189"/>
      <c r="G9" s="189"/>
      <c r="H9" s="189"/>
      <c r="I9" s="189"/>
      <c r="J9" s="189"/>
      <c r="K9" s="189"/>
    </row>
    <row r="10" spans="2:26" s="190" customFormat="1" ht="11.25" customHeight="1" x14ac:dyDescent="0.35">
      <c r="B10" s="266" t="s">
        <v>447</v>
      </c>
      <c r="C10" s="189"/>
      <c r="D10" s="189"/>
      <c r="E10" s="189"/>
      <c r="F10" s="189"/>
      <c r="G10" s="189"/>
      <c r="H10" s="189"/>
      <c r="I10" s="189"/>
      <c r="J10" s="189"/>
      <c r="K10" s="189"/>
    </row>
    <row r="11" spans="2:26" s="190" customFormat="1" ht="11.25" customHeight="1" x14ac:dyDescent="0.35">
      <c r="B11" s="266" t="s">
        <v>279</v>
      </c>
      <c r="C11" s="189"/>
      <c r="D11" s="189"/>
      <c r="E11" s="189"/>
      <c r="F11" s="189"/>
      <c r="G11" s="189"/>
      <c r="H11" s="189"/>
      <c r="I11" s="189"/>
      <c r="J11" s="189"/>
      <c r="K11" s="189"/>
    </row>
    <row r="14" spans="2:26" x14ac:dyDescent="0.25">
      <c r="C14" s="335" t="s">
        <v>457</v>
      </c>
      <c r="D14" s="336"/>
      <c r="E14" s="336"/>
      <c r="F14" s="336"/>
      <c r="G14" s="336"/>
      <c r="H14" s="336"/>
      <c r="I14" s="336"/>
      <c r="J14" s="336"/>
      <c r="K14" s="337"/>
      <c r="L14" s="297" t="s">
        <v>291</v>
      </c>
      <c r="M14" s="334"/>
      <c r="N14" s="334"/>
      <c r="O14" s="334"/>
      <c r="P14" s="334"/>
      <c r="Q14" s="334"/>
      <c r="R14" s="334"/>
      <c r="S14" s="334"/>
      <c r="T14" s="334"/>
      <c r="U14" s="334"/>
      <c r="V14" s="334"/>
      <c r="W14" s="334"/>
      <c r="X14" s="334"/>
      <c r="Y14" s="334"/>
      <c r="Z14" s="298"/>
    </row>
    <row r="15" spans="2:26" x14ac:dyDescent="0.25">
      <c r="C15" s="338"/>
      <c r="D15" s="339"/>
      <c r="E15" s="339"/>
      <c r="F15" s="339"/>
      <c r="G15" s="339"/>
      <c r="H15" s="339"/>
      <c r="I15" s="339"/>
      <c r="J15" s="339"/>
      <c r="K15" s="340"/>
      <c r="L15" s="330" t="s">
        <v>287</v>
      </c>
      <c r="M15" s="331"/>
      <c r="N15" s="332"/>
      <c r="O15" s="333" t="s">
        <v>290</v>
      </c>
      <c r="P15" s="333"/>
      <c r="Q15" s="333"/>
      <c r="R15" s="333" t="s">
        <v>292</v>
      </c>
      <c r="S15" s="333"/>
      <c r="T15" s="333"/>
      <c r="U15" s="333" t="s">
        <v>293</v>
      </c>
      <c r="V15" s="333"/>
      <c r="W15" s="333"/>
      <c r="X15" s="333" t="s">
        <v>294</v>
      </c>
      <c r="Y15" s="333"/>
      <c r="Z15" s="333"/>
    </row>
    <row r="16" spans="2:26" s="207" customFormat="1" ht="31.5" x14ac:dyDescent="0.35">
      <c r="B16" s="206"/>
      <c r="C16" s="220" t="s">
        <v>211</v>
      </c>
      <c r="D16" s="221" t="s">
        <v>165</v>
      </c>
      <c r="E16" s="222" t="s">
        <v>280</v>
      </c>
      <c r="F16" s="221" t="s">
        <v>281</v>
      </c>
      <c r="G16" s="221" t="s">
        <v>282</v>
      </c>
      <c r="H16" s="221" t="s">
        <v>283</v>
      </c>
      <c r="I16" s="221" t="s">
        <v>284</v>
      </c>
      <c r="J16" s="222" t="s">
        <v>285</v>
      </c>
      <c r="K16" s="222" t="s">
        <v>286</v>
      </c>
      <c r="L16" s="220"/>
      <c r="M16" s="221" t="s">
        <v>288</v>
      </c>
      <c r="N16" s="222" t="s">
        <v>289</v>
      </c>
      <c r="O16" s="220"/>
      <c r="P16" s="221" t="s">
        <v>288</v>
      </c>
      <c r="Q16" s="222" t="s">
        <v>289</v>
      </c>
      <c r="R16" s="220"/>
      <c r="S16" s="221" t="s">
        <v>288</v>
      </c>
      <c r="T16" s="222" t="s">
        <v>289</v>
      </c>
      <c r="U16" s="220"/>
      <c r="V16" s="221" t="s">
        <v>288</v>
      </c>
      <c r="W16" s="222" t="s">
        <v>289</v>
      </c>
      <c r="X16" s="220"/>
      <c r="Y16" s="221" t="s">
        <v>288</v>
      </c>
      <c r="Z16" s="222" t="s">
        <v>448</v>
      </c>
    </row>
    <row r="17" spans="2:26" x14ac:dyDescent="0.25">
      <c r="B17" s="198"/>
      <c r="C17" s="16"/>
      <c r="E17" s="18"/>
      <c r="J17" s="18"/>
      <c r="K17" s="18"/>
      <c r="L17" s="16"/>
      <c r="N17" s="18"/>
      <c r="O17" s="16"/>
      <c r="Q17" s="18"/>
      <c r="R17" s="16"/>
      <c r="T17" s="18"/>
      <c r="U17" s="16"/>
      <c r="W17" s="18"/>
      <c r="X17" s="16"/>
      <c r="Z17" s="18"/>
    </row>
    <row r="18" spans="2:26" x14ac:dyDescent="0.25">
      <c r="B18" s="198" t="s">
        <v>295</v>
      </c>
      <c r="C18" s="16"/>
      <c r="E18" s="18"/>
      <c r="J18" s="18"/>
      <c r="K18" s="18"/>
      <c r="L18" s="16"/>
      <c r="N18" s="18"/>
      <c r="O18" s="16"/>
      <c r="Q18" s="18"/>
      <c r="R18" s="16"/>
      <c r="T18" s="18"/>
      <c r="U18" s="16"/>
      <c r="W18" s="18"/>
      <c r="X18" s="16"/>
      <c r="Z18" s="18"/>
    </row>
    <row r="19" spans="2:26" x14ac:dyDescent="0.25">
      <c r="B19" s="199" t="s">
        <v>287</v>
      </c>
      <c r="C19" s="153"/>
      <c r="E19" s="18"/>
      <c r="J19" s="18"/>
      <c r="K19" s="148">
        <f>$C$24*SUMIF(Customer!$G$12:$G$42,"HV",Customer!$V$12:$V$42)/Customer!$V$43</f>
        <v>662.91895339630662</v>
      </c>
      <c r="L19" s="153"/>
      <c r="M19" s="138">
        <f>K19</f>
        <v>662.91895339630662</v>
      </c>
      <c r="N19" s="148"/>
      <c r="O19" s="153"/>
      <c r="P19" s="138"/>
      <c r="Q19" s="148"/>
      <c r="R19" s="153"/>
      <c r="S19" s="138"/>
      <c r="T19" s="148"/>
      <c r="U19" s="153"/>
      <c r="V19" s="138"/>
      <c r="W19" s="148"/>
      <c r="X19" s="153"/>
      <c r="Y19" s="138"/>
      <c r="Z19" s="148"/>
    </row>
    <row r="20" spans="2:26" x14ac:dyDescent="0.25">
      <c r="B20" s="199" t="s">
        <v>290</v>
      </c>
      <c r="C20" s="153"/>
      <c r="E20" s="18"/>
      <c r="J20" s="18"/>
      <c r="K20" s="148">
        <f>$C$24*SUMIFS(Customer!$V$12:$V$42,Customer!$G$12:$G$42,"MV",Customer!$F$12:$F$42,"Urban")/Customer!$V$43</f>
        <v>0</v>
      </c>
      <c r="L20" s="153"/>
      <c r="M20" s="138"/>
      <c r="N20" s="148"/>
      <c r="O20" s="153"/>
      <c r="P20" s="138">
        <f>K20</f>
        <v>0</v>
      </c>
      <c r="Q20" s="148"/>
      <c r="R20" s="153"/>
      <c r="S20" s="138"/>
      <c r="T20" s="148"/>
      <c r="U20" s="153"/>
      <c r="V20" s="138"/>
      <c r="W20" s="148"/>
      <c r="X20" s="153"/>
      <c r="Y20" s="138"/>
      <c r="Z20" s="148"/>
    </row>
    <row r="21" spans="2:26" x14ac:dyDescent="0.25">
      <c r="B21" s="199" t="s">
        <v>292</v>
      </c>
      <c r="C21" s="153"/>
      <c r="E21" s="18"/>
      <c r="J21" s="18"/>
      <c r="K21" s="148">
        <f>$C$24*SUMIFS(Customer!$V$12:$V$42,Customer!$G$12:$G$42,"MV",Customer!$F$12:$F$42,"Rural")/Customer!$V$43</f>
        <v>0</v>
      </c>
      <c r="L21" s="153"/>
      <c r="M21" s="138"/>
      <c r="N21" s="148"/>
      <c r="O21" s="153"/>
      <c r="P21" s="138"/>
      <c r="Q21" s="148"/>
      <c r="R21" s="153"/>
      <c r="S21" s="138">
        <f>K21</f>
        <v>0</v>
      </c>
      <c r="T21" s="148"/>
      <c r="U21" s="153"/>
      <c r="V21" s="138"/>
      <c r="W21" s="148"/>
      <c r="X21" s="153"/>
      <c r="Y21" s="138"/>
      <c r="Z21" s="148"/>
    </row>
    <row r="22" spans="2:26" x14ac:dyDescent="0.25">
      <c r="B22" s="199" t="s">
        <v>293</v>
      </c>
      <c r="C22" s="153"/>
      <c r="E22" s="18"/>
      <c r="J22" s="18"/>
      <c r="K22" s="148">
        <f>$C$24*SUMIFS(Customer!$V$12:$V$42,Customer!$G$12:$G$42,"LV",Customer!$F$12:$F$42,"Urban")/Customer!$V$43</f>
        <v>0</v>
      </c>
      <c r="L22" s="153"/>
      <c r="M22" s="138"/>
      <c r="N22" s="148"/>
      <c r="O22" s="153"/>
      <c r="P22" s="138"/>
      <c r="Q22" s="148"/>
      <c r="R22" s="153"/>
      <c r="S22" s="138"/>
      <c r="T22" s="148"/>
      <c r="U22" s="153"/>
      <c r="V22" s="138">
        <f>K22</f>
        <v>0</v>
      </c>
      <c r="W22" s="148"/>
      <c r="X22" s="153"/>
      <c r="Y22" s="138"/>
      <c r="Z22" s="148"/>
    </row>
    <row r="23" spans="2:26" x14ac:dyDescent="0.25">
      <c r="B23" s="200" t="s">
        <v>294</v>
      </c>
      <c r="C23" s="153"/>
      <c r="E23" s="18"/>
      <c r="J23" s="18"/>
      <c r="K23" s="148">
        <f>$C$24*SUMIFS(Customer!$V$12:$V$42,Customer!$G$12:$G$42,"LV",Customer!$F$12:$F$42,"Rural")/Customer!$V$43</f>
        <v>0</v>
      </c>
      <c r="L23" s="153"/>
      <c r="M23" s="138"/>
      <c r="N23" s="148"/>
      <c r="O23" s="153"/>
      <c r="P23" s="138"/>
      <c r="Q23" s="148"/>
      <c r="R23" s="153"/>
      <c r="S23" s="138"/>
      <c r="T23" s="148"/>
      <c r="U23" s="153"/>
      <c r="V23" s="138"/>
      <c r="W23" s="148"/>
      <c r="X23" s="153"/>
      <c r="Y23" s="138">
        <f>K23</f>
        <v>0</v>
      </c>
      <c r="Z23" s="148"/>
    </row>
    <row r="24" spans="2:26" x14ac:dyDescent="0.25">
      <c r="B24" s="216" t="s">
        <v>226</v>
      </c>
      <c r="C24" s="154">
        <f>Assets!T16</f>
        <v>2235.6778059566627</v>
      </c>
      <c r="D24" s="139"/>
      <c r="E24" s="51"/>
      <c r="F24" s="139"/>
      <c r="G24" s="139"/>
      <c r="H24" s="139"/>
      <c r="I24" s="139"/>
      <c r="J24" s="51"/>
      <c r="K24" s="149">
        <f>SUM(K19:K23)</f>
        <v>662.91895339630662</v>
      </c>
      <c r="L24" s="154"/>
      <c r="M24" s="140">
        <f t="shared" ref="M24:Z24" si="0">SUM(M19:M23)</f>
        <v>662.91895339630662</v>
      </c>
      <c r="N24" s="149">
        <f t="shared" si="0"/>
        <v>0</v>
      </c>
      <c r="O24" s="154"/>
      <c r="P24" s="140">
        <f t="shared" si="0"/>
        <v>0</v>
      </c>
      <c r="Q24" s="149">
        <f t="shared" si="0"/>
        <v>0</v>
      </c>
      <c r="R24" s="154"/>
      <c r="S24" s="140">
        <f t="shared" si="0"/>
        <v>0</v>
      </c>
      <c r="T24" s="149">
        <f t="shared" si="0"/>
        <v>0</v>
      </c>
      <c r="U24" s="154"/>
      <c r="V24" s="140">
        <f t="shared" si="0"/>
        <v>0</v>
      </c>
      <c r="W24" s="149">
        <f t="shared" si="0"/>
        <v>0</v>
      </c>
      <c r="X24" s="154"/>
      <c r="Y24" s="140">
        <f t="shared" si="0"/>
        <v>0</v>
      </c>
      <c r="Z24" s="149">
        <f t="shared" si="0"/>
        <v>0</v>
      </c>
    </row>
    <row r="25" spans="2:26" x14ac:dyDescent="0.25">
      <c r="B25" s="198"/>
      <c r="C25" s="16"/>
      <c r="E25" s="18"/>
      <c r="J25" s="18"/>
      <c r="K25" s="18"/>
      <c r="L25" s="153"/>
      <c r="M25" s="138"/>
      <c r="N25" s="148"/>
      <c r="O25" s="153"/>
      <c r="P25" s="138"/>
      <c r="Q25" s="148"/>
      <c r="R25" s="153"/>
      <c r="S25" s="138"/>
      <c r="T25" s="148"/>
      <c r="U25" s="153"/>
      <c r="V25" s="138"/>
      <c r="W25" s="148"/>
      <c r="X25" s="153"/>
      <c r="Y25" s="138"/>
      <c r="Z25" s="148"/>
    </row>
    <row r="26" spans="2:26" x14ac:dyDescent="0.25">
      <c r="B26" s="198" t="s">
        <v>449</v>
      </c>
      <c r="C26" s="16"/>
      <c r="E26" s="18"/>
      <c r="J26" s="18"/>
      <c r="K26" s="18"/>
      <c r="L26" s="153"/>
      <c r="M26" s="138"/>
      <c r="N26" s="148"/>
      <c r="O26" s="153"/>
      <c r="P26" s="138"/>
      <c r="Q26" s="148"/>
      <c r="R26" s="153"/>
      <c r="S26" s="138"/>
      <c r="T26" s="148"/>
      <c r="U26" s="153"/>
      <c r="V26" s="138"/>
      <c r="W26" s="148"/>
      <c r="X26" s="153"/>
      <c r="Y26" s="138"/>
      <c r="Z26" s="148"/>
    </row>
    <row r="27" spans="2:26" x14ac:dyDescent="0.25">
      <c r="B27" s="199" t="s">
        <v>287</v>
      </c>
      <c r="C27" s="153">
        <f>Assets!T19</f>
        <v>1780.2108012422748</v>
      </c>
      <c r="D27" s="138">
        <f>SUMIF(Customer!$G$12:$G$42,"HV",Customer!$V$12:$V$42)</f>
        <v>149.33187210542508</v>
      </c>
      <c r="E27" s="201">
        <f>D27/SUM($D$27:$D$29)</f>
        <v>0.29650934263043477</v>
      </c>
      <c r="F27" s="192">
        <f>$E27*$C27</f>
        <v>527.84913441994649</v>
      </c>
      <c r="G27" s="190"/>
      <c r="H27" s="192"/>
      <c r="I27" s="192"/>
      <c r="J27" s="204"/>
      <c r="K27" s="193">
        <f>F27</f>
        <v>527.84913441994649</v>
      </c>
      <c r="L27" s="153"/>
      <c r="M27" s="138">
        <f>K27</f>
        <v>527.84913441994649</v>
      </c>
      <c r="N27" s="148"/>
      <c r="O27" s="153"/>
      <c r="P27" s="138"/>
      <c r="Q27" s="148"/>
      <c r="R27" s="153"/>
      <c r="S27" s="138"/>
      <c r="T27" s="148"/>
      <c r="U27" s="153"/>
      <c r="V27" s="138"/>
      <c r="W27" s="148"/>
      <c r="X27" s="153"/>
      <c r="Y27" s="138"/>
      <c r="Z27" s="148"/>
    </row>
    <row r="28" spans="2:26" x14ac:dyDescent="0.25">
      <c r="B28" s="199" t="s">
        <v>309</v>
      </c>
      <c r="C28" s="153"/>
      <c r="D28" s="138">
        <f>SUMIF(Customer!$G$12:$G$42,"MV",Customer!$V$12:$V$42)</f>
        <v>42.213051427892879</v>
      </c>
      <c r="E28" s="201">
        <f t="shared" ref="E28:E29" si="1">D28/SUM($D$27:$D$29)</f>
        <v>8.3817097802623336E-2</v>
      </c>
      <c r="F28" s="192"/>
      <c r="G28" s="192">
        <f>$C27-F27</f>
        <v>1252.3616668223283</v>
      </c>
      <c r="H28" s="192">
        <f>(G28+C28)*E28</f>
        <v>104.96932031230347</v>
      </c>
      <c r="I28" s="190"/>
      <c r="J28" s="204"/>
      <c r="K28" s="193">
        <f>H28</f>
        <v>104.96932031230347</v>
      </c>
      <c r="L28" s="153"/>
      <c r="M28" s="138"/>
      <c r="N28" s="148"/>
      <c r="O28" s="153"/>
      <c r="P28" s="138">
        <f>$K$28*SUMIFS(Customer!$V$12:$V$42,Customer!$G$12:$G$42,"MV",Customer!$F$12:$F$42,"Urban")/SUMIFS(Customer!$V$12:$V$42,Customer!$G$12:$G$42,"MV")</f>
        <v>0</v>
      </c>
      <c r="Q28" s="148"/>
      <c r="R28" s="153"/>
      <c r="S28" s="138">
        <f>$K$28*SUMIFS(Customer!$V$12:$V$42,Customer!$G$12:$G$42,"MV",Customer!$F$12:$F$42,"Rural")/SUMIFS(Customer!$V$12:$V$42,Customer!$G$12:$G$42,"MV")</f>
        <v>0</v>
      </c>
      <c r="T28" s="148"/>
      <c r="U28" s="153"/>
      <c r="V28" s="138"/>
      <c r="W28" s="148"/>
      <c r="X28" s="153"/>
      <c r="Y28" s="138"/>
      <c r="Z28" s="148"/>
    </row>
    <row r="29" spans="2:26" x14ac:dyDescent="0.25">
      <c r="B29" s="200" t="s">
        <v>296</v>
      </c>
      <c r="C29" s="202">
        <f>Assets!T34+Assets!T39</f>
        <v>21.610826375531815</v>
      </c>
      <c r="D29" s="194">
        <f>SUMIF(Customer!$G$12:$G$42,"LV",Customer!$V$12:$V$42)</f>
        <v>312.08801693544262</v>
      </c>
      <c r="E29" s="203">
        <f t="shared" si="1"/>
        <v>0.61967355956694192</v>
      </c>
      <c r="F29" s="195"/>
      <c r="G29" s="195"/>
      <c r="H29" s="195"/>
      <c r="I29" s="195">
        <f>C28+G28-H28</f>
        <v>1147.3923465100247</v>
      </c>
      <c r="J29" s="205">
        <f>I29+C29</f>
        <v>1169.0031728855565</v>
      </c>
      <c r="K29" s="193">
        <f>J29</f>
        <v>1169.0031728855565</v>
      </c>
      <c r="L29" s="153"/>
      <c r="M29" s="138"/>
      <c r="N29" s="148"/>
      <c r="O29" s="153"/>
      <c r="P29" s="138"/>
      <c r="Q29" s="148"/>
      <c r="R29" s="153"/>
      <c r="S29" s="138"/>
      <c r="T29" s="148"/>
      <c r="U29" s="153"/>
      <c r="V29" s="138">
        <f>$K$29*SUMIFS(Customer!$V$12:$V$42,Customer!$G$12:$G$42,"LV",Customer!$F$12:$F$42,"Urban")/SUMIFS(Customer!$V$12:$V$42,Customer!$G$12:$G$42,"LV")</f>
        <v>0</v>
      </c>
      <c r="W29" s="148"/>
      <c r="X29" s="153"/>
      <c r="Y29" s="138">
        <f>$K$29*SUMIFS(Customer!$V$12:$V$42,Customer!$G$12:$G$42,"LV",Customer!$F$12:$F$42,"Rural")/SUMIFS(Customer!$V$12:$V$42,Customer!$G$12:$G$42,"LV")</f>
        <v>0</v>
      </c>
      <c r="Z29" s="148"/>
    </row>
    <row r="30" spans="2:26" x14ac:dyDescent="0.25">
      <c r="B30" s="216" t="s">
        <v>226</v>
      </c>
      <c r="C30" s="154">
        <f>SUM(C27:C29)</f>
        <v>1801.8216276178066</v>
      </c>
      <c r="D30" s="140">
        <f>SUM(D27:D29)</f>
        <v>503.63294046876058</v>
      </c>
      <c r="E30" s="217">
        <f>SUM(E27:E29)</f>
        <v>1</v>
      </c>
      <c r="F30" s="218"/>
      <c r="G30" s="218"/>
      <c r="H30" s="218"/>
      <c r="I30" s="218"/>
      <c r="J30" s="219"/>
      <c r="K30" s="229">
        <f>SUM(K27:K29)</f>
        <v>1801.8216276178064</v>
      </c>
      <c r="L30" s="154"/>
      <c r="M30" s="140">
        <f t="shared" ref="M30:Z30" si="2">SUM(M27:M29)</f>
        <v>527.84913441994649</v>
      </c>
      <c r="N30" s="149">
        <f t="shared" si="2"/>
        <v>0</v>
      </c>
      <c r="O30" s="154"/>
      <c r="P30" s="140">
        <f t="shared" si="2"/>
        <v>0</v>
      </c>
      <c r="Q30" s="149">
        <f t="shared" si="2"/>
        <v>0</v>
      </c>
      <c r="R30" s="154"/>
      <c r="S30" s="140">
        <f t="shared" si="2"/>
        <v>0</v>
      </c>
      <c r="T30" s="149">
        <f t="shared" si="2"/>
        <v>0</v>
      </c>
      <c r="U30" s="154"/>
      <c r="V30" s="140">
        <f t="shared" si="2"/>
        <v>0</v>
      </c>
      <c r="W30" s="149">
        <f t="shared" si="2"/>
        <v>0</v>
      </c>
      <c r="X30" s="154"/>
      <c r="Y30" s="140">
        <f t="shared" si="2"/>
        <v>0</v>
      </c>
      <c r="Z30" s="149">
        <f t="shared" si="2"/>
        <v>0</v>
      </c>
    </row>
    <row r="31" spans="2:26" x14ac:dyDescent="0.25">
      <c r="B31" s="198"/>
      <c r="C31" s="16"/>
      <c r="E31" s="18"/>
      <c r="J31" s="18"/>
      <c r="K31" s="18"/>
      <c r="L31" s="153"/>
      <c r="M31" s="138"/>
      <c r="N31" s="148"/>
      <c r="O31" s="153"/>
      <c r="P31" s="138"/>
      <c r="Q31" s="148"/>
      <c r="R31" s="153"/>
      <c r="S31" s="138"/>
      <c r="T31" s="148"/>
      <c r="U31" s="153"/>
      <c r="V31" s="138"/>
      <c r="W31" s="148"/>
      <c r="X31" s="153"/>
      <c r="Y31" s="138"/>
      <c r="Z31" s="148"/>
    </row>
    <row r="32" spans="2:26" x14ac:dyDescent="0.25">
      <c r="B32" s="198" t="s">
        <v>297</v>
      </c>
      <c r="C32" s="16"/>
      <c r="E32" s="18"/>
      <c r="J32" s="18"/>
      <c r="K32" s="18"/>
      <c r="L32" s="153"/>
      <c r="M32" s="138"/>
      <c r="N32" s="148"/>
      <c r="O32" s="153"/>
      <c r="P32" s="138"/>
      <c r="Q32" s="148"/>
      <c r="R32" s="153"/>
      <c r="S32" s="138"/>
      <c r="T32" s="148"/>
      <c r="U32" s="153"/>
      <c r="V32" s="138"/>
      <c r="W32" s="148"/>
      <c r="X32" s="153"/>
      <c r="Y32" s="138"/>
      <c r="Z32" s="148"/>
    </row>
    <row r="33" spans="2:26" x14ac:dyDescent="0.25">
      <c r="B33" s="199" t="s">
        <v>287</v>
      </c>
      <c r="C33" s="153">
        <f>Assets!T20</f>
        <v>5.7426154878783056</v>
      </c>
      <c r="D33" s="138"/>
      <c r="E33" s="201"/>
      <c r="F33" s="192"/>
      <c r="G33" s="190"/>
      <c r="H33" s="192"/>
      <c r="I33" s="192"/>
      <c r="J33" s="204"/>
      <c r="K33" s="193">
        <f>C33</f>
        <v>5.7426154878783056</v>
      </c>
      <c r="L33" s="153"/>
      <c r="M33" s="138"/>
      <c r="N33" s="148">
        <f>K33</f>
        <v>5.7426154878783056</v>
      </c>
      <c r="O33" s="153"/>
      <c r="P33" s="138"/>
      <c r="Q33" s="148"/>
      <c r="R33" s="153"/>
      <c r="S33" s="138"/>
      <c r="T33" s="148"/>
      <c r="U33" s="153"/>
      <c r="V33" s="138"/>
      <c r="W33" s="148"/>
      <c r="X33" s="153"/>
      <c r="Y33" s="138"/>
      <c r="Z33" s="148"/>
    </row>
    <row r="34" spans="2:26" x14ac:dyDescent="0.25">
      <c r="B34" s="199" t="s">
        <v>298</v>
      </c>
      <c r="C34" s="153">
        <f>Assets!T25</f>
        <v>30.22564272788259</v>
      </c>
      <c r="D34" s="138"/>
      <c r="E34" s="201"/>
      <c r="F34" s="192"/>
      <c r="G34" s="192"/>
      <c r="H34" s="192"/>
      <c r="I34" s="190"/>
      <c r="J34" s="204"/>
      <c r="K34" s="193">
        <f t="shared" ref="K34:K37" si="3">C34</f>
        <v>30.22564272788259</v>
      </c>
      <c r="L34" s="153"/>
      <c r="M34" s="138"/>
      <c r="N34" s="148"/>
      <c r="O34" s="153"/>
      <c r="P34" s="138"/>
      <c r="Q34" s="148">
        <f>K34</f>
        <v>30.22564272788259</v>
      </c>
      <c r="R34" s="153"/>
      <c r="S34" s="138"/>
      <c r="T34" s="148"/>
      <c r="U34" s="153"/>
      <c r="V34" s="138"/>
      <c r="W34" s="148"/>
      <c r="X34" s="153"/>
      <c r="Y34" s="138"/>
      <c r="Z34" s="148"/>
    </row>
    <row r="35" spans="2:26" x14ac:dyDescent="0.25">
      <c r="B35" s="199" t="s">
        <v>292</v>
      </c>
      <c r="C35" s="153">
        <f>Assets!T30</f>
        <v>0</v>
      </c>
      <c r="D35" s="138"/>
      <c r="E35" s="201"/>
      <c r="F35" s="192"/>
      <c r="G35" s="192"/>
      <c r="H35" s="192"/>
      <c r="I35" s="190"/>
      <c r="J35" s="204"/>
      <c r="K35" s="193">
        <f t="shared" si="3"/>
        <v>0</v>
      </c>
      <c r="L35" s="153"/>
      <c r="M35" s="138"/>
      <c r="N35" s="148"/>
      <c r="O35" s="153"/>
      <c r="P35" s="138"/>
      <c r="Q35" s="148"/>
      <c r="R35" s="153"/>
      <c r="S35" s="138"/>
      <c r="T35" s="148">
        <f>K35</f>
        <v>0</v>
      </c>
      <c r="U35" s="153"/>
      <c r="V35" s="138"/>
      <c r="W35" s="148"/>
      <c r="X35" s="153"/>
      <c r="Y35" s="138"/>
      <c r="Z35" s="148"/>
    </row>
    <row r="36" spans="2:26" x14ac:dyDescent="0.25">
      <c r="B36" s="199" t="s">
        <v>293</v>
      </c>
      <c r="C36" s="153">
        <f>Assets!T35</f>
        <v>30.195077935836252</v>
      </c>
      <c r="D36" s="138"/>
      <c r="E36" s="201"/>
      <c r="F36" s="192"/>
      <c r="G36" s="192"/>
      <c r="H36" s="192"/>
      <c r="I36" s="190"/>
      <c r="J36" s="204"/>
      <c r="K36" s="193">
        <f t="shared" si="3"/>
        <v>30.195077935836252</v>
      </c>
      <c r="L36" s="153"/>
      <c r="M36" s="138"/>
      <c r="N36" s="148"/>
      <c r="O36" s="153"/>
      <c r="P36" s="138"/>
      <c r="Q36" s="148"/>
      <c r="R36" s="153"/>
      <c r="S36" s="138"/>
      <c r="T36" s="148"/>
      <c r="U36" s="153"/>
      <c r="V36" s="138"/>
      <c r="W36" s="148">
        <f>K36</f>
        <v>30.195077935836252</v>
      </c>
      <c r="X36" s="153"/>
      <c r="Y36" s="138"/>
      <c r="Z36" s="148"/>
    </row>
    <row r="37" spans="2:26" x14ac:dyDescent="0.25">
      <c r="B37" s="200" t="s">
        <v>294</v>
      </c>
      <c r="C37" s="202">
        <f>Assets!T40</f>
        <v>0</v>
      </c>
      <c r="D37" s="194"/>
      <c r="E37" s="203"/>
      <c r="F37" s="195"/>
      <c r="G37" s="195"/>
      <c r="H37" s="195"/>
      <c r="I37" s="195"/>
      <c r="J37" s="205"/>
      <c r="K37" s="193">
        <f t="shared" si="3"/>
        <v>0</v>
      </c>
      <c r="L37" s="153"/>
      <c r="M37" s="138"/>
      <c r="N37" s="148"/>
      <c r="O37" s="153"/>
      <c r="P37" s="138"/>
      <c r="Q37" s="148"/>
      <c r="R37" s="153"/>
      <c r="S37" s="138"/>
      <c r="T37" s="148"/>
      <c r="U37" s="153"/>
      <c r="V37" s="138"/>
      <c r="W37" s="148"/>
      <c r="X37" s="153"/>
      <c r="Y37" s="138"/>
      <c r="Z37" s="148">
        <f>K37</f>
        <v>0</v>
      </c>
    </row>
    <row r="38" spans="2:26" x14ac:dyDescent="0.25">
      <c r="B38" s="216" t="s">
        <v>226</v>
      </c>
      <c r="C38" s="154">
        <f>SUM(C33:C37)</f>
        <v>66.16333615159715</v>
      </c>
      <c r="D38" s="140"/>
      <c r="E38" s="217"/>
      <c r="F38" s="218"/>
      <c r="G38" s="218"/>
      <c r="H38" s="218"/>
      <c r="I38" s="218"/>
      <c r="J38" s="219"/>
      <c r="K38" s="149">
        <f>SUM(K33:K37)</f>
        <v>66.16333615159715</v>
      </c>
      <c r="L38" s="154"/>
      <c r="M38" s="140">
        <f t="shared" ref="M38:Z38" si="4">SUM(M33:M37)</f>
        <v>0</v>
      </c>
      <c r="N38" s="149">
        <f t="shared" si="4"/>
        <v>5.7426154878783056</v>
      </c>
      <c r="O38" s="154"/>
      <c r="P38" s="140">
        <f t="shared" si="4"/>
        <v>0</v>
      </c>
      <c r="Q38" s="149">
        <f t="shared" si="4"/>
        <v>30.22564272788259</v>
      </c>
      <c r="R38" s="154"/>
      <c r="S38" s="140">
        <f t="shared" si="4"/>
        <v>0</v>
      </c>
      <c r="T38" s="149">
        <f t="shared" si="4"/>
        <v>0</v>
      </c>
      <c r="U38" s="154"/>
      <c r="V38" s="140">
        <f t="shared" si="4"/>
        <v>0</v>
      </c>
      <c r="W38" s="149">
        <f t="shared" si="4"/>
        <v>30.195077935836252</v>
      </c>
      <c r="X38" s="154"/>
      <c r="Y38" s="140">
        <f t="shared" si="4"/>
        <v>0</v>
      </c>
      <c r="Z38" s="149">
        <f t="shared" si="4"/>
        <v>0</v>
      </c>
    </row>
    <row r="39" spans="2:26" x14ac:dyDescent="0.25">
      <c r="B39" s="215"/>
      <c r="C39" s="230"/>
      <c r="D39" s="213"/>
      <c r="E39" s="231"/>
      <c r="F39" s="214"/>
      <c r="G39" s="214"/>
      <c r="H39" s="214"/>
      <c r="I39" s="214"/>
      <c r="J39" s="214"/>
      <c r="K39" s="225"/>
      <c r="L39" s="63"/>
      <c r="M39" s="64"/>
      <c r="N39" s="40"/>
      <c r="O39" s="63"/>
      <c r="P39" s="64"/>
      <c r="Q39" s="64"/>
      <c r="R39" s="63"/>
      <c r="S39" s="64"/>
      <c r="T39" s="40"/>
      <c r="U39" s="63"/>
      <c r="V39" s="64"/>
      <c r="W39" s="64"/>
      <c r="X39" s="63"/>
      <c r="Y39" s="64"/>
      <c r="Z39" s="40"/>
    </row>
    <row r="40" spans="2:26" x14ac:dyDescent="0.25">
      <c r="B40" s="198" t="s">
        <v>52</v>
      </c>
      <c r="C40" s="187"/>
      <c r="D40" s="188"/>
      <c r="E40" s="211"/>
      <c r="F40" s="212"/>
      <c r="G40" s="212"/>
      <c r="H40" s="212"/>
      <c r="I40" s="212"/>
      <c r="J40" s="212"/>
      <c r="K40" s="226"/>
      <c r="L40" s="16"/>
      <c r="N40" s="18"/>
      <c r="O40" s="16"/>
      <c r="R40" s="16"/>
      <c r="T40" s="18"/>
      <c r="U40" s="16"/>
      <c r="X40" s="16"/>
      <c r="Z40" s="18"/>
    </row>
    <row r="41" spans="2:26" x14ac:dyDescent="0.25">
      <c r="B41" s="199" t="s">
        <v>299</v>
      </c>
      <c r="C41" s="153">
        <f>SUM(C24,C30,C38)</f>
        <v>4103.6627697260665</v>
      </c>
      <c r="D41" s="138"/>
      <c r="E41" s="201"/>
      <c r="F41" s="192"/>
      <c r="G41" s="192"/>
      <c r="H41" s="192"/>
      <c r="I41" s="192"/>
      <c r="J41" s="192"/>
      <c r="K41" s="227">
        <f>SUM(K24,K30,K38)</f>
        <v>2530.9039171657105</v>
      </c>
      <c r="L41" s="153"/>
      <c r="M41" s="138">
        <f>SUM(M24,M30,M38)</f>
        <v>1190.7680878162532</v>
      </c>
      <c r="N41" s="148">
        <f t="shared" ref="N41:Z41" si="5">SUM(N24,N30,N38)</f>
        <v>5.7426154878783056</v>
      </c>
      <c r="O41" s="153"/>
      <c r="P41" s="138">
        <f t="shared" si="5"/>
        <v>0</v>
      </c>
      <c r="Q41" s="138">
        <f t="shared" si="5"/>
        <v>30.22564272788259</v>
      </c>
      <c r="R41" s="153"/>
      <c r="S41" s="138">
        <f t="shared" si="5"/>
        <v>0</v>
      </c>
      <c r="T41" s="148">
        <f t="shared" si="5"/>
        <v>0</v>
      </c>
      <c r="U41" s="153"/>
      <c r="V41" s="138">
        <f t="shared" si="5"/>
        <v>0</v>
      </c>
      <c r="W41" s="138">
        <f t="shared" si="5"/>
        <v>30.195077935836252</v>
      </c>
      <c r="X41" s="153"/>
      <c r="Y41" s="138">
        <f t="shared" si="5"/>
        <v>0</v>
      </c>
      <c r="Z41" s="148">
        <f t="shared" si="5"/>
        <v>0</v>
      </c>
    </row>
    <row r="42" spans="2:26" x14ac:dyDescent="0.25">
      <c r="B42" s="200" t="s">
        <v>312</v>
      </c>
      <c r="C42" s="202">
        <f>RR!$G$31*V.Realloc!C41</f>
        <v>426.7809280515109</v>
      </c>
      <c r="D42" s="194"/>
      <c r="E42" s="203"/>
      <c r="F42" s="195"/>
      <c r="G42" s="195"/>
      <c r="H42" s="195"/>
      <c r="I42" s="195"/>
      <c r="J42" s="195"/>
      <c r="K42" s="228">
        <f>RR!$G$31*V.Realloc!K41</f>
        <v>263.21400738523386</v>
      </c>
      <c r="L42" s="202"/>
      <c r="M42" s="194">
        <f>RR!$G$31*V.Realloc!M41</f>
        <v>123.83988113289033</v>
      </c>
      <c r="N42" s="197">
        <f>RR!$G$31*V.Realloc!N41</f>
        <v>0.59723201073934373</v>
      </c>
      <c r="O42" s="202"/>
      <c r="P42" s="194">
        <f>RR!$G$31*V.Realloc!P41</f>
        <v>0</v>
      </c>
      <c r="Q42" s="194">
        <f>RR!$G$31*V.Realloc!Q41</f>
        <v>3.1434668436997892</v>
      </c>
      <c r="R42" s="202"/>
      <c r="S42" s="194">
        <f>RR!$G$31*V.Realloc!S41</f>
        <v>0</v>
      </c>
      <c r="T42" s="197">
        <f>RR!$G$31*V.Realloc!T41</f>
        <v>0</v>
      </c>
      <c r="U42" s="202"/>
      <c r="V42" s="194">
        <f>RR!$G$31*V.Realloc!V41</f>
        <v>0</v>
      </c>
      <c r="W42" s="194">
        <f>RR!$G$31*V.Realloc!W41</f>
        <v>3.1402881053269702</v>
      </c>
      <c r="X42" s="202"/>
      <c r="Y42" s="194">
        <f>RR!$G$31*V.Realloc!Y41</f>
        <v>0</v>
      </c>
      <c r="Z42" s="197">
        <f>RR!$G$31*V.Realloc!Z41</f>
        <v>0</v>
      </c>
    </row>
    <row r="46" spans="2:26" x14ac:dyDescent="0.25">
      <c r="C46" s="335" t="s">
        <v>300</v>
      </c>
      <c r="D46" s="336"/>
      <c r="E46" s="336"/>
      <c r="F46" s="336"/>
      <c r="G46" s="336"/>
      <c r="H46" s="336"/>
      <c r="I46" s="336"/>
      <c r="J46" s="336"/>
      <c r="K46" s="337"/>
      <c r="L46" s="297" t="s">
        <v>305</v>
      </c>
      <c r="M46" s="334"/>
      <c r="N46" s="334"/>
      <c r="O46" s="334"/>
      <c r="P46" s="334"/>
      <c r="Q46" s="334"/>
      <c r="R46" s="334"/>
      <c r="S46" s="334"/>
      <c r="T46" s="334"/>
      <c r="U46" s="334"/>
      <c r="V46" s="334"/>
      <c r="W46" s="334"/>
      <c r="X46" s="334"/>
      <c r="Y46" s="334"/>
      <c r="Z46" s="298"/>
    </row>
    <row r="47" spans="2:26" x14ac:dyDescent="0.25">
      <c r="C47" s="338"/>
      <c r="D47" s="339"/>
      <c r="E47" s="339"/>
      <c r="F47" s="339"/>
      <c r="G47" s="339"/>
      <c r="H47" s="339"/>
      <c r="I47" s="339"/>
      <c r="J47" s="339"/>
      <c r="K47" s="340"/>
      <c r="L47" s="330" t="s">
        <v>287</v>
      </c>
      <c r="M47" s="331"/>
      <c r="N47" s="332"/>
      <c r="O47" s="333" t="s">
        <v>290</v>
      </c>
      <c r="P47" s="333"/>
      <c r="Q47" s="333"/>
      <c r="R47" s="333" t="s">
        <v>292</v>
      </c>
      <c r="S47" s="333"/>
      <c r="T47" s="333"/>
      <c r="U47" s="333" t="s">
        <v>293</v>
      </c>
      <c r="V47" s="333"/>
      <c r="W47" s="333"/>
      <c r="X47" s="333" t="s">
        <v>294</v>
      </c>
      <c r="Y47" s="333"/>
      <c r="Z47" s="333"/>
    </row>
    <row r="48" spans="2:26" s="207" customFormat="1" ht="31.5" x14ac:dyDescent="0.35">
      <c r="B48" s="206"/>
      <c r="C48" s="220" t="s">
        <v>211</v>
      </c>
      <c r="D48" s="221" t="s">
        <v>165</v>
      </c>
      <c r="E48" s="222" t="s">
        <v>301</v>
      </c>
      <c r="F48" s="221" t="s">
        <v>281</v>
      </c>
      <c r="G48" s="221" t="s">
        <v>282</v>
      </c>
      <c r="H48" s="221" t="s">
        <v>283</v>
      </c>
      <c r="I48" s="221" t="s">
        <v>302</v>
      </c>
      <c r="J48" s="222" t="s">
        <v>285</v>
      </c>
      <c r="K48" s="222" t="s">
        <v>286</v>
      </c>
      <c r="L48" s="220" t="s">
        <v>303</v>
      </c>
      <c r="M48" s="221" t="s">
        <v>288</v>
      </c>
      <c r="N48" s="222" t="s">
        <v>289</v>
      </c>
      <c r="O48" s="220" t="s">
        <v>304</v>
      </c>
      <c r="P48" s="221" t="s">
        <v>288</v>
      </c>
      <c r="Q48" s="222" t="s">
        <v>289</v>
      </c>
      <c r="R48" s="220" t="s">
        <v>303</v>
      </c>
      <c r="S48" s="221" t="s">
        <v>288</v>
      </c>
      <c r="T48" s="222" t="s">
        <v>289</v>
      </c>
      <c r="U48" s="220" t="s">
        <v>303</v>
      </c>
      <c r="V48" s="221" t="s">
        <v>288</v>
      </c>
      <c r="W48" s="222" t="s">
        <v>289</v>
      </c>
      <c r="X48" s="220" t="s">
        <v>303</v>
      </c>
      <c r="Y48" s="221" t="s">
        <v>288</v>
      </c>
      <c r="Z48" s="222" t="s">
        <v>289</v>
      </c>
    </row>
    <row r="49" spans="2:26" x14ac:dyDescent="0.25">
      <c r="B49" s="198"/>
      <c r="C49" s="16"/>
      <c r="E49" s="18"/>
      <c r="J49" s="18"/>
      <c r="K49" s="18"/>
      <c r="L49" s="16"/>
      <c r="N49" s="18"/>
      <c r="O49" s="16"/>
      <c r="Q49" s="18"/>
      <c r="R49" s="16"/>
      <c r="T49" s="18"/>
      <c r="U49" s="16"/>
      <c r="W49" s="18"/>
      <c r="X49" s="16"/>
      <c r="Z49" s="18"/>
    </row>
    <row r="50" spans="2:26" x14ac:dyDescent="0.25">
      <c r="B50" s="198" t="s">
        <v>306</v>
      </c>
      <c r="C50" s="16"/>
      <c r="E50" s="18"/>
      <c r="J50" s="18"/>
      <c r="K50" s="18"/>
      <c r="L50" s="16"/>
      <c r="N50" s="18"/>
      <c r="O50" s="16"/>
      <c r="Q50" s="18"/>
      <c r="R50" s="16"/>
      <c r="T50" s="18"/>
      <c r="U50" s="16"/>
      <c r="W50" s="18"/>
      <c r="X50" s="16"/>
      <c r="Z50" s="18"/>
    </row>
    <row r="51" spans="2:26" x14ac:dyDescent="0.25">
      <c r="B51" s="199" t="s">
        <v>287</v>
      </c>
      <c r="C51" s="153"/>
      <c r="E51" s="18"/>
      <c r="J51" s="18"/>
      <c r="K51" s="148">
        <f>$C$56*SUMIF(Customer!$G$12:$G$42,"HV",Customer!$T$12:$T$42)/Customer!$T$43</f>
        <v>25.204746263124406</v>
      </c>
      <c r="L51" s="153">
        <f>K51</f>
        <v>25.204746263124406</v>
      </c>
      <c r="M51" s="138"/>
      <c r="N51" s="148"/>
      <c r="O51" s="153"/>
      <c r="P51" s="138"/>
      <c r="Q51" s="148"/>
      <c r="R51" s="153"/>
      <c r="S51" s="138"/>
      <c r="T51" s="148"/>
      <c r="U51" s="153"/>
      <c r="V51" s="138"/>
      <c r="W51" s="148"/>
      <c r="X51" s="153"/>
      <c r="Y51" s="138"/>
      <c r="Z51" s="148"/>
    </row>
    <row r="52" spans="2:26" x14ac:dyDescent="0.25">
      <c r="B52" s="199" t="s">
        <v>290</v>
      </c>
      <c r="C52" s="153"/>
      <c r="E52" s="18"/>
      <c r="J52" s="18"/>
      <c r="K52" s="148">
        <f>$C$56*SUMIFS(Customer!$T$12:$T$42,Customer!$G$12:$G$42,"MV",Customer!$F$12:$F$42,"Urban")/Customer!$T$43</f>
        <v>0</v>
      </c>
      <c r="L52" s="153"/>
      <c r="M52" s="138"/>
      <c r="N52" s="148"/>
      <c r="O52" s="153">
        <f>K52</f>
        <v>0</v>
      </c>
      <c r="P52" s="138"/>
      <c r="Q52" s="148"/>
      <c r="R52" s="153"/>
      <c r="S52" s="138"/>
      <c r="T52" s="148"/>
      <c r="U52" s="153"/>
      <c r="V52" s="138"/>
      <c r="W52" s="148"/>
      <c r="X52" s="153"/>
      <c r="Y52" s="138"/>
      <c r="Z52" s="148"/>
    </row>
    <row r="53" spans="2:26" x14ac:dyDescent="0.25">
      <c r="B53" s="199" t="s">
        <v>292</v>
      </c>
      <c r="C53" s="153"/>
      <c r="E53" s="18"/>
      <c r="J53" s="18"/>
      <c r="K53" s="148">
        <f>$C$56*SUMIFS(Customer!$T$12:$T$42,Customer!$G$12:$G$42,"MV",Customer!$F$12:$F$42,"Rural")/Customer!$T$43</f>
        <v>0</v>
      </c>
      <c r="L53" s="153"/>
      <c r="M53" s="138"/>
      <c r="N53" s="148"/>
      <c r="O53" s="153"/>
      <c r="P53" s="138"/>
      <c r="Q53" s="148"/>
      <c r="R53" s="153">
        <f>K53</f>
        <v>0</v>
      </c>
      <c r="S53" s="138"/>
      <c r="T53" s="148"/>
      <c r="U53" s="153"/>
      <c r="V53" s="138"/>
      <c r="W53" s="148"/>
      <c r="X53" s="153"/>
      <c r="Y53" s="138"/>
      <c r="Z53" s="148"/>
    </row>
    <row r="54" spans="2:26" x14ac:dyDescent="0.25">
      <c r="B54" s="199" t="s">
        <v>293</v>
      </c>
      <c r="C54" s="153"/>
      <c r="E54" s="18"/>
      <c r="J54" s="18"/>
      <c r="K54" s="148">
        <f>$C$56*SUMIFS(Customer!$T$12:$T$42,Customer!$G$12:$G$42,"LV",Customer!$F$12:$F$42,"Urban")/Customer!$T$43</f>
        <v>0</v>
      </c>
      <c r="L54" s="153"/>
      <c r="M54" s="138"/>
      <c r="N54" s="148"/>
      <c r="O54" s="153"/>
      <c r="P54" s="138"/>
      <c r="Q54" s="148"/>
      <c r="R54" s="153"/>
      <c r="S54" s="138"/>
      <c r="T54" s="148"/>
      <c r="U54" s="153">
        <f>K54</f>
        <v>0</v>
      </c>
      <c r="V54" s="138"/>
      <c r="W54" s="148"/>
      <c r="X54" s="153"/>
      <c r="Y54" s="138"/>
      <c r="Z54" s="148"/>
    </row>
    <row r="55" spans="2:26" x14ac:dyDescent="0.25">
      <c r="B55" s="200" t="s">
        <v>294</v>
      </c>
      <c r="C55" s="153"/>
      <c r="E55" s="18"/>
      <c r="J55" s="18"/>
      <c r="K55" s="148">
        <f>$C$56*SUMIFS(Customer!$T$12:$T$42,Customer!$G$12:$G$42,"LV",Customer!$F$12:$F$42,"Rural")/Customer!$T$43</f>
        <v>0</v>
      </c>
      <c r="L55" s="153"/>
      <c r="M55" s="138"/>
      <c r="N55" s="148"/>
      <c r="O55" s="153"/>
      <c r="P55" s="138"/>
      <c r="Q55" s="148"/>
      <c r="R55" s="153"/>
      <c r="S55" s="138"/>
      <c r="T55" s="148"/>
      <c r="U55" s="153"/>
      <c r="V55" s="138"/>
      <c r="W55" s="148"/>
      <c r="X55" s="153">
        <f>K55</f>
        <v>0</v>
      </c>
      <c r="Y55" s="138"/>
      <c r="Z55" s="148"/>
    </row>
    <row r="56" spans="2:26" x14ac:dyDescent="0.25">
      <c r="B56" s="216" t="s">
        <v>226</v>
      </c>
      <c r="C56" s="154">
        <f>Expenses!O12</f>
        <v>69.063000000000002</v>
      </c>
      <c r="D56" s="139"/>
      <c r="E56" s="51"/>
      <c r="F56" s="139"/>
      <c r="G56" s="139"/>
      <c r="H56" s="139"/>
      <c r="I56" s="139"/>
      <c r="J56" s="51"/>
      <c r="K56" s="149">
        <f>SUM(K51:K55)</f>
        <v>25.204746263124406</v>
      </c>
      <c r="L56" s="140">
        <f t="shared" ref="L56:M56" si="6">SUM(L51:L55)</f>
        <v>25.204746263124406</v>
      </c>
      <c r="M56" s="140">
        <f t="shared" si="6"/>
        <v>0</v>
      </c>
      <c r="N56" s="149">
        <f t="shared" ref="N56" si="7">SUM(N51:N55)</f>
        <v>0</v>
      </c>
      <c r="O56" s="140">
        <f t="shared" ref="O56" si="8">SUM(O51:O55)</f>
        <v>0</v>
      </c>
      <c r="P56" s="140">
        <f t="shared" ref="P56" si="9">SUM(P51:P55)</f>
        <v>0</v>
      </c>
      <c r="Q56" s="149">
        <f t="shared" ref="Q56" si="10">SUM(Q51:Q55)</f>
        <v>0</v>
      </c>
      <c r="R56" s="140">
        <f t="shared" ref="R56" si="11">SUM(R51:R55)</f>
        <v>0</v>
      </c>
      <c r="S56" s="140">
        <f t="shared" ref="S56" si="12">SUM(S51:S55)</f>
        <v>0</v>
      </c>
      <c r="T56" s="149">
        <f t="shared" ref="T56" si="13">SUM(T51:T55)</f>
        <v>0</v>
      </c>
      <c r="U56" s="140">
        <f t="shared" ref="U56" si="14">SUM(U51:U55)</f>
        <v>0</v>
      </c>
      <c r="V56" s="140">
        <f t="shared" ref="V56" si="15">SUM(V51:V55)</f>
        <v>0</v>
      </c>
      <c r="W56" s="149">
        <f t="shared" ref="W56" si="16">SUM(W51:W55)</f>
        <v>0</v>
      </c>
      <c r="X56" s="140">
        <f t="shared" ref="X56" si="17">SUM(X51:X55)</f>
        <v>0</v>
      </c>
      <c r="Y56" s="140">
        <f t="shared" ref="Y56" si="18">SUM(Y51:Y55)</f>
        <v>0</v>
      </c>
      <c r="Z56" s="149">
        <f t="shared" ref="Z56" si="19">SUM(Z51:Z55)</f>
        <v>0</v>
      </c>
    </row>
    <row r="57" spans="2:26" x14ac:dyDescent="0.25">
      <c r="B57" s="198"/>
      <c r="C57" s="16"/>
      <c r="E57" s="18"/>
      <c r="J57" s="18"/>
      <c r="K57" s="18"/>
      <c r="L57" s="16"/>
      <c r="N57" s="18"/>
      <c r="O57" s="16"/>
      <c r="Q57" s="18"/>
      <c r="R57" s="16"/>
      <c r="T57" s="18"/>
      <c r="U57" s="16"/>
      <c r="W57" s="18"/>
      <c r="X57" s="16"/>
      <c r="Z57" s="18"/>
    </row>
    <row r="58" spans="2:26" x14ac:dyDescent="0.25">
      <c r="B58" s="198" t="s">
        <v>307</v>
      </c>
      <c r="C58" s="16"/>
      <c r="E58" s="18"/>
      <c r="J58" s="18"/>
      <c r="K58" s="18"/>
      <c r="L58" s="16"/>
      <c r="N58" s="18"/>
      <c r="O58" s="16"/>
      <c r="Q58" s="18"/>
      <c r="R58" s="16"/>
      <c r="T58" s="18"/>
      <c r="U58" s="16"/>
      <c r="W58" s="18"/>
      <c r="X58" s="16"/>
      <c r="Z58" s="18"/>
    </row>
    <row r="59" spans="2:26" x14ac:dyDescent="0.25">
      <c r="B59" s="199" t="s">
        <v>287</v>
      </c>
      <c r="C59" s="153"/>
      <c r="E59" s="18"/>
      <c r="J59" s="18"/>
      <c r="K59" s="148">
        <f>$C$64*SUMIF(Customer!$G$12:$G$42,"HV",Customer!$V$12:$V$42)/Customer!$V$43</f>
        <v>120.31800169419213</v>
      </c>
      <c r="L59" s="153"/>
      <c r="M59" s="138">
        <f>K59</f>
        <v>120.31800169419213</v>
      </c>
      <c r="N59" s="148"/>
      <c r="O59" s="153"/>
      <c r="P59" s="138"/>
      <c r="Q59" s="148"/>
      <c r="R59" s="153"/>
      <c r="S59" s="138"/>
      <c r="T59" s="148"/>
      <c r="U59" s="153"/>
      <c r="V59" s="138"/>
      <c r="W59" s="148"/>
      <c r="X59" s="153"/>
      <c r="Y59" s="138"/>
      <c r="Z59" s="148"/>
    </row>
    <row r="60" spans="2:26" x14ac:dyDescent="0.25">
      <c r="B60" s="199" t="s">
        <v>290</v>
      </c>
      <c r="C60" s="153"/>
      <c r="E60" s="18"/>
      <c r="J60" s="18"/>
      <c r="K60" s="148">
        <f>$C$64*SUMIFS(Customer!$V$12:$V$42,Customer!$G$12:$G$42,"MV",Customer!$F$12:$F$42,"Urban")/Customer!$V$43</f>
        <v>0</v>
      </c>
      <c r="L60" s="153"/>
      <c r="M60" s="138"/>
      <c r="N60" s="148"/>
      <c r="O60" s="153"/>
      <c r="P60" s="138">
        <f>K60</f>
        <v>0</v>
      </c>
      <c r="Q60" s="148"/>
      <c r="R60" s="153"/>
      <c r="S60" s="138"/>
      <c r="T60" s="148"/>
      <c r="U60" s="153"/>
      <c r="V60" s="138"/>
      <c r="W60" s="148"/>
      <c r="X60" s="153"/>
      <c r="Y60" s="138"/>
      <c r="Z60" s="148"/>
    </row>
    <row r="61" spans="2:26" x14ac:dyDescent="0.25">
      <c r="B61" s="199" t="s">
        <v>292</v>
      </c>
      <c r="C61" s="153"/>
      <c r="E61" s="18"/>
      <c r="J61" s="18"/>
      <c r="K61" s="148">
        <f>$C$64*SUMIFS(Customer!$V$12:$V$42,Customer!$G$12:$G$42,"MV",Customer!$F$12:$F$42,"Rural")/Customer!$V$43</f>
        <v>0</v>
      </c>
      <c r="L61" s="153"/>
      <c r="M61" s="138"/>
      <c r="N61" s="148"/>
      <c r="O61" s="153"/>
      <c r="P61" s="138"/>
      <c r="Q61" s="148"/>
      <c r="R61" s="153"/>
      <c r="S61" s="138">
        <f>K61</f>
        <v>0</v>
      </c>
      <c r="T61" s="148"/>
      <c r="U61" s="153"/>
      <c r="V61" s="138"/>
      <c r="W61" s="148"/>
      <c r="X61" s="153"/>
      <c r="Y61" s="138"/>
      <c r="Z61" s="148"/>
    </row>
    <row r="62" spans="2:26" x14ac:dyDescent="0.25">
      <c r="B62" s="199" t="s">
        <v>293</v>
      </c>
      <c r="C62" s="153"/>
      <c r="E62" s="18"/>
      <c r="J62" s="18"/>
      <c r="K62" s="148">
        <f>$C$64*SUMIFS(Customer!$V$12:$V$42,Customer!$G$12:$G$42,"LV",Customer!$F$12:$F$42,"Urban")/Customer!$V$43</f>
        <v>0</v>
      </c>
      <c r="L62" s="153"/>
      <c r="M62" s="138"/>
      <c r="N62" s="148"/>
      <c r="O62" s="153"/>
      <c r="P62" s="138"/>
      <c r="Q62" s="148"/>
      <c r="R62" s="153"/>
      <c r="S62" s="138"/>
      <c r="T62" s="148"/>
      <c r="U62" s="153"/>
      <c r="V62" s="138">
        <f>K62</f>
        <v>0</v>
      </c>
      <c r="W62" s="148"/>
      <c r="X62" s="153"/>
      <c r="Y62" s="138"/>
      <c r="Z62" s="148"/>
    </row>
    <row r="63" spans="2:26" x14ac:dyDescent="0.25">
      <c r="B63" s="200" t="s">
        <v>294</v>
      </c>
      <c r="C63" s="153"/>
      <c r="E63" s="18"/>
      <c r="J63" s="18"/>
      <c r="K63" s="148">
        <f>$C$64*SUMIFS(Customer!$V$12:$V$42,Customer!$G$12:$G$42,"LV",Customer!$F$12:$F$42,"Rural")/Customer!$V$43</f>
        <v>0</v>
      </c>
      <c r="L63" s="153"/>
      <c r="M63" s="138"/>
      <c r="N63" s="148"/>
      <c r="O63" s="153"/>
      <c r="P63" s="138"/>
      <c r="Q63" s="148"/>
      <c r="R63" s="153"/>
      <c r="S63" s="138"/>
      <c r="T63" s="148"/>
      <c r="U63" s="153"/>
      <c r="V63" s="138"/>
      <c r="W63" s="148"/>
      <c r="X63" s="153"/>
      <c r="Y63" s="138">
        <f>K63</f>
        <v>0</v>
      </c>
      <c r="Z63" s="148"/>
    </row>
    <row r="64" spans="2:26" x14ac:dyDescent="0.25">
      <c r="B64" s="216" t="s">
        <v>226</v>
      </c>
      <c r="C64" s="154">
        <f>Expenses!O13</f>
        <v>405.7694906242217</v>
      </c>
      <c r="D64" s="139"/>
      <c r="E64" s="51"/>
      <c r="F64" s="139"/>
      <c r="G64" s="139"/>
      <c r="H64" s="139"/>
      <c r="I64" s="139"/>
      <c r="J64" s="51"/>
      <c r="K64" s="149">
        <f>SUM(K59:K63)</f>
        <v>120.31800169419213</v>
      </c>
      <c r="L64" s="140">
        <f t="shared" ref="L64" si="20">SUM(L59:L63)</f>
        <v>0</v>
      </c>
      <c r="M64" s="140">
        <f t="shared" ref="M64" si="21">SUM(M59:M63)</f>
        <v>120.31800169419213</v>
      </c>
      <c r="N64" s="149">
        <f t="shared" ref="N64" si="22">SUM(N59:N63)</f>
        <v>0</v>
      </c>
      <c r="O64" s="140">
        <f t="shared" ref="O64" si="23">SUM(O59:O63)</f>
        <v>0</v>
      </c>
      <c r="P64" s="140">
        <f t="shared" ref="P64" si="24">SUM(P59:P63)</f>
        <v>0</v>
      </c>
      <c r="Q64" s="149">
        <f t="shared" ref="Q64" si="25">SUM(Q59:Q63)</f>
        <v>0</v>
      </c>
      <c r="R64" s="140">
        <f t="shared" ref="R64" si="26">SUM(R59:R63)</f>
        <v>0</v>
      </c>
      <c r="S64" s="140">
        <f t="shared" ref="S64" si="27">SUM(S59:S63)</f>
        <v>0</v>
      </c>
      <c r="T64" s="149">
        <f t="shared" ref="T64" si="28">SUM(T59:T63)</f>
        <v>0</v>
      </c>
      <c r="U64" s="140">
        <f t="shared" ref="U64" si="29">SUM(U59:U63)</f>
        <v>0</v>
      </c>
      <c r="V64" s="140">
        <f t="shared" ref="V64" si="30">SUM(V59:V63)</f>
        <v>0</v>
      </c>
      <c r="W64" s="149">
        <f t="shared" ref="W64" si="31">SUM(W59:W63)</f>
        <v>0</v>
      </c>
      <c r="X64" s="140">
        <f t="shared" ref="X64" si="32">SUM(X59:X63)</f>
        <v>0</v>
      </c>
      <c r="Y64" s="140">
        <f t="shared" ref="Y64" si="33">SUM(Y59:Y63)</f>
        <v>0</v>
      </c>
      <c r="Z64" s="149">
        <f t="shared" ref="Z64" si="34">SUM(Z59:Z63)</f>
        <v>0</v>
      </c>
    </row>
    <row r="65" spans="2:26" x14ac:dyDescent="0.25">
      <c r="B65" s="198"/>
      <c r="C65" s="16"/>
      <c r="E65" s="18"/>
      <c r="J65" s="18"/>
      <c r="K65" s="18"/>
      <c r="L65" s="16"/>
      <c r="N65" s="18"/>
      <c r="O65" s="16"/>
      <c r="Q65" s="18"/>
      <c r="R65" s="16"/>
      <c r="T65" s="18"/>
      <c r="U65" s="16"/>
      <c r="W65" s="18"/>
      <c r="X65" s="16"/>
      <c r="Z65" s="18"/>
    </row>
    <row r="66" spans="2:26" x14ac:dyDescent="0.25">
      <c r="B66" s="198" t="s">
        <v>450</v>
      </c>
      <c r="C66" s="16"/>
      <c r="E66" s="18"/>
      <c r="J66" s="18"/>
      <c r="K66" s="18"/>
      <c r="L66" s="16"/>
      <c r="N66" s="18"/>
      <c r="O66" s="16"/>
      <c r="Q66" s="18"/>
      <c r="R66" s="16"/>
      <c r="T66" s="18"/>
      <c r="U66" s="16"/>
      <c r="W66" s="18"/>
      <c r="X66" s="16"/>
      <c r="Z66" s="18"/>
    </row>
    <row r="67" spans="2:26" x14ac:dyDescent="0.25">
      <c r="B67" s="199" t="s">
        <v>287</v>
      </c>
      <c r="C67" s="153">
        <f>Expenses!O16</f>
        <v>62.166999555858695</v>
      </c>
      <c r="E67" s="18"/>
      <c r="J67" s="18"/>
      <c r="K67" s="148">
        <f>C67</f>
        <v>62.166999555858695</v>
      </c>
      <c r="L67" s="153">
        <f>K67</f>
        <v>62.166999555858695</v>
      </c>
      <c r="M67" s="138"/>
      <c r="N67" s="148"/>
      <c r="O67" s="153"/>
      <c r="P67" s="138"/>
      <c r="Q67" s="148"/>
      <c r="R67" s="153"/>
      <c r="S67" s="138"/>
      <c r="T67" s="148"/>
      <c r="U67" s="153"/>
      <c r="V67" s="138"/>
      <c r="W67" s="148"/>
      <c r="X67" s="153"/>
      <c r="Y67" s="138"/>
      <c r="Z67" s="148"/>
    </row>
    <row r="68" spans="2:26" x14ac:dyDescent="0.25">
      <c r="B68" s="199" t="s">
        <v>290</v>
      </c>
      <c r="C68" s="153">
        <f>Expenses!O22</f>
        <v>0</v>
      </c>
      <c r="E68" s="18"/>
      <c r="J68" s="18"/>
      <c r="K68" s="148">
        <f t="shared" ref="K68:K71" si="35">C68</f>
        <v>0</v>
      </c>
      <c r="L68" s="153"/>
      <c r="M68" s="138"/>
      <c r="N68" s="148"/>
      <c r="O68" s="153">
        <f>K68</f>
        <v>0</v>
      </c>
      <c r="P68" s="138"/>
      <c r="Q68" s="148"/>
      <c r="R68" s="153"/>
      <c r="S68" s="138"/>
      <c r="T68" s="148"/>
      <c r="U68" s="153"/>
      <c r="V68" s="138"/>
      <c r="W68" s="148"/>
      <c r="X68" s="153"/>
      <c r="Y68" s="138"/>
      <c r="Z68" s="148"/>
    </row>
    <row r="69" spans="2:26" x14ac:dyDescent="0.25">
      <c r="B69" s="199" t="s">
        <v>292</v>
      </c>
      <c r="C69" s="153">
        <f>Expenses!O28</f>
        <v>0</v>
      </c>
      <c r="E69" s="18"/>
      <c r="J69" s="18"/>
      <c r="K69" s="148">
        <f t="shared" si="35"/>
        <v>0</v>
      </c>
      <c r="L69" s="153"/>
      <c r="M69" s="138"/>
      <c r="N69" s="148"/>
      <c r="O69" s="153"/>
      <c r="P69" s="138"/>
      <c r="Q69" s="148"/>
      <c r="R69" s="153">
        <f>K69</f>
        <v>0</v>
      </c>
      <c r="S69" s="138"/>
      <c r="T69" s="148"/>
      <c r="U69" s="153"/>
      <c r="V69" s="138"/>
      <c r="W69" s="148"/>
      <c r="X69" s="153"/>
      <c r="Y69" s="138"/>
      <c r="Z69" s="148"/>
    </row>
    <row r="70" spans="2:26" x14ac:dyDescent="0.25">
      <c r="B70" s="199" t="s">
        <v>293</v>
      </c>
      <c r="C70" s="153">
        <f>Expenses!O34</f>
        <v>0</v>
      </c>
      <c r="E70" s="18"/>
      <c r="J70" s="18"/>
      <c r="K70" s="148">
        <f t="shared" si="35"/>
        <v>0</v>
      </c>
      <c r="L70" s="153"/>
      <c r="M70" s="138"/>
      <c r="N70" s="148"/>
      <c r="O70" s="153"/>
      <c r="P70" s="138"/>
      <c r="Q70" s="148"/>
      <c r="R70" s="153"/>
      <c r="S70" s="138"/>
      <c r="T70" s="148"/>
      <c r="U70" s="153">
        <f>K70</f>
        <v>0</v>
      </c>
      <c r="V70" s="138"/>
      <c r="W70" s="148"/>
      <c r="X70" s="153"/>
      <c r="Y70" s="138"/>
      <c r="Z70" s="148"/>
    </row>
    <row r="71" spans="2:26" x14ac:dyDescent="0.25">
      <c r="B71" s="200" t="s">
        <v>294</v>
      </c>
      <c r="C71" s="153">
        <f>Expenses!O40</f>
        <v>0</v>
      </c>
      <c r="E71" s="18"/>
      <c r="J71" s="18"/>
      <c r="K71" s="148">
        <f t="shared" si="35"/>
        <v>0</v>
      </c>
      <c r="L71" s="153"/>
      <c r="M71" s="138"/>
      <c r="N71" s="148"/>
      <c r="O71" s="153"/>
      <c r="P71" s="138"/>
      <c r="Q71" s="148"/>
      <c r="R71" s="153"/>
      <c r="S71" s="138"/>
      <c r="T71" s="148"/>
      <c r="U71" s="153"/>
      <c r="V71" s="138"/>
      <c r="W71" s="148"/>
      <c r="X71" s="153">
        <f>K71</f>
        <v>0</v>
      </c>
      <c r="Y71" s="138"/>
      <c r="Z71" s="148"/>
    </row>
    <row r="72" spans="2:26" x14ac:dyDescent="0.25">
      <c r="B72" s="216" t="s">
        <v>226</v>
      </c>
      <c r="C72" s="154">
        <f>SUM(C67:C71)</f>
        <v>62.166999555858695</v>
      </c>
      <c r="D72" s="139"/>
      <c r="E72" s="51"/>
      <c r="F72" s="139"/>
      <c r="G72" s="139"/>
      <c r="H72" s="139"/>
      <c r="I72" s="139"/>
      <c r="J72" s="51"/>
      <c r="K72" s="149">
        <f>SUM(K67:K71)</f>
        <v>62.166999555858695</v>
      </c>
      <c r="L72" s="140">
        <f t="shared" ref="L72" si="36">SUM(L67:L71)</f>
        <v>62.166999555858695</v>
      </c>
      <c r="M72" s="140">
        <f t="shared" ref="M72" si="37">SUM(M67:M71)</f>
        <v>0</v>
      </c>
      <c r="N72" s="149">
        <f t="shared" ref="N72" si="38">SUM(N67:N71)</f>
        <v>0</v>
      </c>
      <c r="O72" s="140">
        <f t="shared" ref="O72" si="39">SUM(O67:O71)</f>
        <v>0</v>
      </c>
      <c r="P72" s="140">
        <f t="shared" ref="P72" si="40">SUM(P67:P71)</f>
        <v>0</v>
      </c>
      <c r="Q72" s="149">
        <f t="shared" ref="Q72" si="41">SUM(Q67:Q71)</f>
        <v>0</v>
      </c>
      <c r="R72" s="140">
        <f t="shared" ref="R72" si="42">SUM(R67:R71)</f>
        <v>0</v>
      </c>
      <c r="S72" s="140">
        <f t="shared" ref="S72" si="43">SUM(S67:S71)</f>
        <v>0</v>
      </c>
      <c r="T72" s="149">
        <f t="shared" ref="T72" si="44">SUM(T67:T71)</f>
        <v>0</v>
      </c>
      <c r="U72" s="140">
        <f t="shared" ref="U72" si="45">SUM(U67:U71)</f>
        <v>0</v>
      </c>
      <c r="V72" s="140">
        <f t="shared" ref="V72" si="46">SUM(V67:V71)</f>
        <v>0</v>
      </c>
      <c r="W72" s="149">
        <f t="shared" ref="W72" si="47">SUM(W67:W71)</f>
        <v>0</v>
      </c>
      <c r="X72" s="140">
        <f t="shared" ref="X72" si="48">SUM(X67:X71)</f>
        <v>0</v>
      </c>
      <c r="Y72" s="140">
        <f t="shared" ref="Y72" si="49">SUM(Y67:Y71)</f>
        <v>0</v>
      </c>
      <c r="Z72" s="149">
        <f t="shared" ref="Z72" si="50">SUM(Z67:Z71)</f>
        <v>0</v>
      </c>
    </row>
    <row r="73" spans="2:26" x14ac:dyDescent="0.25">
      <c r="B73" s="215"/>
      <c r="C73" s="63"/>
      <c r="D73" s="64"/>
      <c r="E73" s="40"/>
      <c r="F73" s="64"/>
      <c r="G73" s="64"/>
      <c r="H73" s="64"/>
      <c r="I73" s="64"/>
      <c r="J73" s="40"/>
      <c r="K73" s="40"/>
      <c r="L73" s="153"/>
      <c r="M73" s="138"/>
      <c r="N73" s="148"/>
      <c r="O73" s="153"/>
      <c r="P73" s="138"/>
      <c r="Q73" s="148"/>
      <c r="R73" s="153"/>
      <c r="S73" s="138"/>
      <c r="T73" s="148"/>
      <c r="U73" s="153"/>
      <c r="V73" s="138"/>
      <c r="W73" s="148"/>
      <c r="X73" s="153"/>
      <c r="Y73" s="138"/>
      <c r="Z73" s="148"/>
    </row>
    <row r="74" spans="2:26" x14ac:dyDescent="0.25">
      <c r="B74" s="198" t="s">
        <v>308</v>
      </c>
      <c r="C74" s="16"/>
      <c r="E74" s="18"/>
      <c r="J74" s="18"/>
      <c r="K74" s="18"/>
      <c r="L74" s="153"/>
      <c r="M74" s="138"/>
      <c r="N74" s="148"/>
      <c r="O74" s="153"/>
      <c r="P74" s="138"/>
      <c r="Q74" s="148"/>
      <c r="R74" s="153"/>
      <c r="S74" s="138"/>
      <c r="T74" s="148"/>
      <c r="U74" s="153"/>
      <c r="V74" s="138"/>
      <c r="W74" s="148"/>
      <c r="X74" s="153"/>
      <c r="Y74" s="138"/>
      <c r="Z74" s="148"/>
    </row>
    <row r="75" spans="2:26" x14ac:dyDescent="0.25">
      <c r="B75" s="199" t="s">
        <v>287</v>
      </c>
      <c r="C75" s="153">
        <f>Expenses!O17</f>
        <v>346.53412086829752</v>
      </c>
      <c r="D75" s="138">
        <f>D27</f>
        <v>149.33187210542508</v>
      </c>
      <c r="E75" s="201">
        <f>D75/SUM($D$27:$D$29)</f>
        <v>0.29650934263043477</v>
      </c>
      <c r="F75" s="192">
        <f>$E75*$C75</f>
        <v>102.75060437767452</v>
      </c>
      <c r="G75" s="190"/>
      <c r="H75" s="192"/>
      <c r="I75" s="192"/>
      <c r="J75" s="204"/>
      <c r="K75" s="193">
        <f>F75</f>
        <v>102.75060437767452</v>
      </c>
      <c r="L75" s="153"/>
      <c r="M75" s="138">
        <f>K75</f>
        <v>102.75060437767452</v>
      </c>
      <c r="N75" s="148"/>
      <c r="O75" s="153"/>
      <c r="P75" s="138"/>
      <c r="Q75" s="148"/>
      <c r="R75" s="153"/>
      <c r="S75" s="138"/>
      <c r="T75" s="148"/>
      <c r="U75" s="153"/>
      <c r="V75" s="138"/>
      <c r="W75" s="148"/>
      <c r="X75" s="153"/>
      <c r="Y75" s="138"/>
      <c r="Z75" s="148"/>
    </row>
    <row r="76" spans="2:26" x14ac:dyDescent="0.25">
      <c r="B76" s="199" t="s">
        <v>309</v>
      </c>
      <c r="C76" s="153">
        <f>Expenses!O23+Expenses!O29</f>
        <v>66.9087933462785</v>
      </c>
      <c r="D76" s="138">
        <f>D28</f>
        <v>42.213051427892879</v>
      </c>
      <c r="E76" s="201">
        <f t="shared" ref="E76:E77" si="51">D76/SUM($D$27:$D$29)</f>
        <v>8.3817097802623336E-2</v>
      </c>
      <c r="F76" s="192"/>
      <c r="G76" s="192">
        <f>$C75-F75</f>
        <v>243.78351649062301</v>
      </c>
      <c r="H76" s="192">
        <f>(G76+C76)*E76</f>
        <v>26.041327720122528</v>
      </c>
      <c r="I76" s="190"/>
      <c r="J76" s="204"/>
      <c r="K76" s="193">
        <f>H76</f>
        <v>26.041327720122528</v>
      </c>
      <c r="L76" s="153"/>
      <c r="M76" s="138"/>
      <c r="N76" s="148"/>
      <c r="O76" s="153"/>
      <c r="P76" s="138">
        <f>$K$76*SUMIFS(Customer!$V$12:$V$42,Customer!$G$12:$G$42,"MV",Customer!$F$12:$F$42,"Urban")/SUMIFS(Customer!$V$12:$V$42,Customer!$G$12:$G$42,"MV")</f>
        <v>0</v>
      </c>
      <c r="Q76" s="148"/>
      <c r="R76" s="153"/>
      <c r="S76" s="138">
        <f>$K$76*SUMIFS(Customer!$V$12:$V$42,Customer!$G$12:$G$42,"MV",Customer!$F$12:$F$42,"Rural")/SUMIFS(Customer!$V$12:$V$42,Customer!$G$12:$G$42,"MV")</f>
        <v>0</v>
      </c>
      <c r="T76" s="148"/>
      <c r="U76" s="153"/>
      <c r="V76" s="138"/>
      <c r="W76" s="148"/>
      <c r="X76" s="153"/>
      <c r="Y76" s="138"/>
      <c r="Z76" s="148"/>
    </row>
    <row r="77" spans="2:26" x14ac:dyDescent="0.25">
      <c r="B77" s="200" t="s">
        <v>296</v>
      </c>
      <c r="C77" s="202">
        <f>Expenses!O35+Expenses!O41</f>
        <v>7.614356423399177</v>
      </c>
      <c r="D77" s="194">
        <f>D29</f>
        <v>312.08801693544262</v>
      </c>
      <c r="E77" s="203">
        <f t="shared" si="51"/>
        <v>0.61967355956694192</v>
      </c>
      <c r="F77" s="195"/>
      <c r="G77" s="195"/>
      <c r="H77" s="195"/>
      <c r="I77" s="195">
        <f>C76+G76-H76</f>
        <v>284.65098211677901</v>
      </c>
      <c r="J77" s="205">
        <f>I77+C77</f>
        <v>292.26533854017816</v>
      </c>
      <c r="K77" s="196">
        <f>J77</f>
        <v>292.26533854017816</v>
      </c>
      <c r="L77" s="153"/>
      <c r="M77" s="138"/>
      <c r="N77" s="148"/>
      <c r="O77" s="153"/>
      <c r="P77" s="138"/>
      <c r="Q77" s="148"/>
      <c r="R77" s="153"/>
      <c r="S77" s="138"/>
      <c r="T77" s="148"/>
      <c r="U77" s="153"/>
      <c r="V77" s="138">
        <f>$K$77*SUMIFS(Customer!$V$12:$V$42,Customer!$G$12:$G$42,"LV",Customer!$F$12:$F$42,"Urban")/SUMIFS(Customer!$V$12:$V$42,Customer!$G$12:$G$42,"LV")</f>
        <v>0</v>
      </c>
      <c r="W77" s="148"/>
      <c r="X77" s="153"/>
      <c r="Y77" s="138">
        <f>$K$77*SUMIFS(Customer!$V$12:$V$42,Customer!$G$12:$G$42,"LV",Customer!$F$12:$F$42,"Rural")/SUMIFS(Customer!$V$12:$V$42,Customer!$G$12:$G$42,"LV")</f>
        <v>0</v>
      </c>
      <c r="Z77" s="148"/>
    </row>
    <row r="78" spans="2:26" x14ac:dyDescent="0.25">
      <c r="B78" s="216" t="s">
        <v>226</v>
      </c>
      <c r="C78" s="202">
        <f>SUM(C75:C77)</f>
        <v>421.05727063797519</v>
      </c>
      <c r="D78" s="194">
        <f>SUM(D75:D77)</f>
        <v>503.63294046876058</v>
      </c>
      <c r="E78" s="203">
        <f>SUM(E75:E77)</f>
        <v>1</v>
      </c>
      <c r="F78" s="195"/>
      <c r="G78" s="195"/>
      <c r="H78" s="195"/>
      <c r="I78" s="195"/>
      <c r="J78" s="205"/>
      <c r="K78" s="197">
        <f>SUM(K75:K77)</f>
        <v>421.05727063797519</v>
      </c>
      <c r="L78" s="140">
        <f t="shared" ref="L78:M78" si="52">SUM(L75:L77)</f>
        <v>0</v>
      </c>
      <c r="M78" s="140">
        <f t="shared" si="52"/>
        <v>102.75060437767452</v>
      </c>
      <c r="N78" s="149">
        <f t="shared" ref="N78" si="53">SUM(N75:N77)</f>
        <v>0</v>
      </c>
      <c r="O78" s="140">
        <f t="shared" ref="O78" si="54">SUM(O75:O77)</f>
        <v>0</v>
      </c>
      <c r="P78" s="140">
        <f t="shared" ref="P78" si="55">SUM(P75:P77)</f>
        <v>0</v>
      </c>
      <c r="Q78" s="149">
        <f t="shared" ref="Q78" si="56">SUM(Q75:Q77)</f>
        <v>0</v>
      </c>
      <c r="R78" s="140">
        <f t="shared" ref="R78" si="57">SUM(R75:R77)</f>
        <v>0</v>
      </c>
      <c r="S78" s="140">
        <f t="shared" ref="S78" si="58">SUM(S75:S77)</f>
        <v>0</v>
      </c>
      <c r="T78" s="149">
        <f t="shared" ref="T78" si="59">SUM(T75:T77)</f>
        <v>0</v>
      </c>
      <c r="U78" s="140">
        <f t="shared" ref="U78" si="60">SUM(U75:U77)</f>
        <v>0</v>
      </c>
      <c r="V78" s="140">
        <f t="shared" ref="V78" si="61">SUM(V75:V77)</f>
        <v>0</v>
      </c>
      <c r="W78" s="149">
        <f t="shared" ref="W78" si="62">SUM(W75:W77)</f>
        <v>0</v>
      </c>
      <c r="X78" s="140">
        <f t="shared" ref="X78" si="63">SUM(X75:X77)</f>
        <v>0</v>
      </c>
      <c r="Y78" s="140">
        <f t="shared" ref="Y78" si="64">SUM(Y75:Y77)</f>
        <v>0</v>
      </c>
      <c r="Z78" s="149">
        <f t="shared" ref="Z78" si="65">SUM(Z75:Z77)</f>
        <v>0</v>
      </c>
    </row>
    <row r="79" spans="2:26" x14ac:dyDescent="0.25">
      <c r="B79" s="198"/>
      <c r="C79" s="16"/>
      <c r="E79" s="18"/>
      <c r="J79" s="18"/>
      <c r="K79" s="18"/>
      <c r="L79" s="153"/>
      <c r="M79" s="138"/>
      <c r="N79" s="148"/>
      <c r="O79" s="153"/>
      <c r="P79" s="138"/>
      <c r="Q79" s="148"/>
      <c r="R79" s="153"/>
      <c r="S79" s="138"/>
      <c r="T79" s="148"/>
      <c r="U79" s="153"/>
      <c r="V79" s="138"/>
      <c r="W79" s="148"/>
      <c r="X79" s="153"/>
      <c r="Y79" s="138"/>
      <c r="Z79" s="148"/>
    </row>
    <row r="80" spans="2:26" x14ac:dyDescent="0.25">
      <c r="B80" s="198" t="s">
        <v>310</v>
      </c>
      <c r="C80" s="16"/>
      <c r="E80" s="18"/>
      <c r="J80" s="18"/>
      <c r="K80" s="18"/>
      <c r="L80" s="153"/>
      <c r="M80" s="138"/>
      <c r="N80" s="148"/>
      <c r="O80" s="153"/>
      <c r="P80" s="138"/>
      <c r="Q80" s="148"/>
      <c r="R80" s="153"/>
      <c r="S80" s="138"/>
      <c r="T80" s="148"/>
      <c r="U80" s="153"/>
      <c r="V80" s="138"/>
      <c r="W80" s="148"/>
      <c r="X80" s="153"/>
      <c r="Y80" s="138"/>
      <c r="Z80" s="148"/>
    </row>
    <row r="81" spans="2:26" x14ac:dyDescent="0.25">
      <c r="B81" s="199" t="s">
        <v>287</v>
      </c>
      <c r="C81" s="153">
        <f>Expenses!O18</f>
        <v>0.62868230561386884</v>
      </c>
      <c r="D81" s="138"/>
      <c r="E81" s="201"/>
      <c r="F81" s="192"/>
      <c r="G81" s="190"/>
      <c r="H81" s="192"/>
      <c r="I81" s="192"/>
      <c r="J81" s="204"/>
      <c r="K81" s="193">
        <f>C81</f>
        <v>0.62868230561386884</v>
      </c>
      <c r="L81" s="153"/>
      <c r="M81" s="138"/>
      <c r="N81" s="148">
        <f>K81</f>
        <v>0.62868230561386884</v>
      </c>
      <c r="O81" s="153"/>
      <c r="P81" s="138"/>
      <c r="Q81" s="148"/>
      <c r="R81" s="153"/>
      <c r="S81" s="138"/>
      <c r="T81" s="148"/>
      <c r="U81" s="153"/>
      <c r="V81" s="138"/>
      <c r="W81" s="148"/>
      <c r="X81" s="153"/>
      <c r="Y81" s="138"/>
      <c r="Z81" s="148"/>
    </row>
    <row r="82" spans="2:26" x14ac:dyDescent="0.25">
      <c r="B82" s="199" t="s">
        <v>290</v>
      </c>
      <c r="C82" s="153">
        <f>Expenses!O24</f>
        <v>4.6011939077636237</v>
      </c>
      <c r="D82" s="138"/>
      <c r="E82" s="201"/>
      <c r="F82" s="192"/>
      <c r="G82" s="192"/>
      <c r="H82" s="192"/>
      <c r="I82" s="190"/>
      <c r="J82" s="204"/>
      <c r="K82" s="193">
        <f t="shared" ref="K82:K85" si="66">C82</f>
        <v>4.6011939077636237</v>
      </c>
      <c r="L82" s="153"/>
      <c r="M82" s="138"/>
      <c r="N82" s="148"/>
      <c r="O82" s="153"/>
      <c r="P82" s="138"/>
      <c r="Q82" s="148">
        <f>K82</f>
        <v>4.6011939077636237</v>
      </c>
      <c r="R82" s="153"/>
      <c r="S82" s="138"/>
      <c r="T82" s="148"/>
      <c r="U82" s="153"/>
      <c r="V82" s="138"/>
      <c r="W82" s="148"/>
      <c r="X82" s="153"/>
      <c r="Y82" s="138"/>
      <c r="Z82" s="148"/>
    </row>
    <row r="83" spans="2:26" x14ac:dyDescent="0.25">
      <c r="B83" s="199" t="s">
        <v>292</v>
      </c>
      <c r="C83" s="153">
        <f>Expenses!O30</f>
        <v>0</v>
      </c>
      <c r="D83" s="138"/>
      <c r="E83" s="201"/>
      <c r="F83" s="192"/>
      <c r="G83" s="192"/>
      <c r="H83" s="192"/>
      <c r="I83" s="190"/>
      <c r="J83" s="204"/>
      <c r="K83" s="193">
        <f t="shared" si="66"/>
        <v>0</v>
      </c>
      <c r="L83" s="153"/>
      <c r="M83" s="138"/>
      <c r="N83" s="148"/>
      <c r="O83" s="153"/>
      <c r="P83" s="138"/>
      <c r="Q83" s="148"/>
      <c r="R83" s="153"/>
      <c r="S83" s="138"/>
      <c r="T83" s="148">
        <f>K83</f>
        <v>0</v>
      </c>
      <c r="U83" s="153"/>
      <c r="V83" s="138"/>
      <c r="W83" s="148"/>
      <c r="X83" s="153"/>
      <c r="Y83" s="138"/>
      <c r="Z83" s="148"/>
    </row>
    <row r="84" spans="2:26" x14ac:dyDescent="0.25">
      <c r="B84" s="199" t="s">
        <v>293</v>
      </c>
      <c r="C84" s="153">
        <f>Expenses!O36</f>
        <v>4.6011939077636237</v>
      </c>
      <c r="D84" s="138"/>
      <c r="E84" s="201"/>
      <c r="F84" s="192"/>
      <c r="G84" s="192"/>
      <c r="H84" s="192"/>
      <c r="I84" s="190"/>
      <c r="J84" s="204"/>
      <c r="K84" s="193">
        <f t="shared" si="66"/>
        <v>4.6011939077636237</v>
      </c>
      <c r="L84" s="153"/>
      <c r="M84" s="138"/>
      <c r="N84" s="148"/>
      <c r="O84" s="153"/>
      <c r="P84" s="138"/>
      <c r="Q84" s="148"/>
      <c r="R84" s="153"/>
      <c r="S84" s="138"/>
      <c r="T84" s="148"/>
      <c r="U84" s="153"/>
      <c r="V84" s="138"/>
      <c r="W84" s="148">
        <f>K84</f>
        <v>4.6011939077636237</v>
      </c>
      <c r="X84" s="153"/>
      <c r="Y84" s="138"/>
      <c r="Z84" s="148"/>
    </row>
    <row r="85" spans="2:26" x14ac:dyDescent="0.25">
      <c r="B85" s="200" t="s">
        <v>294</v>
      </c>
      <c r="C85" s="202">
        <f>Expenses!O42</f>
        <v>0</v>
      </c>
      <c r="D85" s="194"/>
      <c r="E85" s="203"/>
      <c r="F85" s="195"/>
      <c r="G85" s="195"/>
      <c r="H85" s="195"/>
      <c r="I85" s="195"/>
      <c r="J85" s="205"/>
      <c r="K85" s="193">
        <f t="shared" si="66"/>
        <v>0</v>
      </c>
      <c r="L85" s="153"/>
      <c r="M85" s="138"/>
      <c r="N85" s="148"/>
      <c r="O85" s="153"/>
      <c r="P85" s="138"/>
      <c r="Q85" s="148"/>
      <c r="R85" s="153"/>
      <c r="S85" s="138"/>
      <c r="T85" s="148"/>
      <c r="U85" s="153"/>
      <c r="V85" s="138"/>
      <c r="W85" s="148"/>
      <c r="X85" s="153"/>
      <c r="Y85" s="138"/>
      <c r="Z85" s="148">
        <f>K85</f>
        <v>0</v>
      </c>
    </row>
    <row r="86" spans="2:26" x14ac:dyDescent="0.25">
      <c r="B86" s="216" t="s">
        <v>226</v>
      </c>
      <c r="C86" s="154">
        <f>SUM(C81:C85)</f>
        <v>9.8310701211411171</v>
      </c>
      <c r="D86" s="140"/>
      <c r="E86" s="217"/>
      <c r="F86" s="218"/>
      <c r="G86" s="218"/>
      <c r="H86" s="218"/>
      <c r="I86" s="218"/>
      <c r="J86" s="219"/>
      <c r="K86" s="149">
        <f>SUM(K81:K85)</f>
        <v>9.8310701211411171</v>
      </c>
      <c r="L86" s="140">
        <f t="shared" ref="L86" si="67">SUM(L81:L85)</f>
        <v>0</v>
      </c>
      <c r="M86" s="140">
        <f t="shared" ref="M86" si="68">SUM(M81:M85)</f>
        <v>0</v>
      </c>
      <c r="N86" s="149">
        <f t="shared" ref="N86" si="69">SUM(N81:N85)</f>
        <v>0.62868230561386884</v>
      </c>
      <c r="O86" s="140">
        <f t="shared" ref="O86" si="70">SUM(O81:O85)</f>
        <v>0</v>
      </c>
      <c r="P86" s="140">
        <f t="shared" ref="P86" si="71">SUM(P81:P85)</f>
        <v>0</v>
      </c>
      <c r="Q86" s="149">
        <f t="shared" ref="Q86" si="72">SUM(Q81:Q85)</f>
        <v>4.6011939077636237</v>
      </c>
      <c r="R86" s="140">
        <f t="shared" ref="R86" si="73">SUM(R81:R85)</f>
        <v>0</v>
      </c>
      <c r="S86" s="140">
        <f t="shared" ref="S86" si="74">SUM(S81:S85)</f>
        <v>0</v>
      </c>
      <c r="T86" s="149">
        <f t="shared" ref="T86" si="75">SUM(T81:T85)</f>
        <v>0</v>
      </c>
      <c r="U86" s="140">
        <f t="shared" ref="U86" si="76">SUM(U81:U85)</f>
        <v>0</v>
      </c>
      <c r="V86" s="140">
        <f t="shared" ref="V86" si="77">SUM(V81:V85)</f>
        <v>0</v>
      </c>
      <c r="W86" s="149">
        <f t="shared" ref="W86" si="78">SUM(W81:W85)</f>
        <v>4.6011939077636237</v>
      </c>
      <c r="X86" s="140">
        <f t="shared" ref="X86" si="79">SUM(X81:X85)</f>
        <v>0</v>
      </c>
      <c r="Y86" s="140">
        <f t="shared" ref="Y86" si="80">SUM(Y81:Y85)</f>
        <v>0</v>
      </c>
      <c r="Z86" s="149">
        <f t="shared" ref="Z86" si="81">SUM(Z81:Z85)</f>
        <v>0</v>
      </c>
    </row>
    <row r="87" spans="2:26" x14ac:dyDescent="0.25">
      <c r="B87" s="215"/>
      <c r="C87" s="230"/>
      <c r="D87" s="213"/>
      <c r="E87" s="231"/>
      <c r="F87" s="214"/>
      <c r="G87" s="214"/>
      <c r="H87" s="214"/>
      <c r="I87" s="214"/>
      <c r="J87" s="214"/>
      <c r="K87" s="225"/>
      <c r="L87" s="63"/>
      <c r="M87" s="64"/>
      <c r="N87" s="40"/>
      <c r="O87" s="63"/>
      <c r="P87" s="64"/>
      <c r="Q87" s="64"/>
      <c r="R87" s="63"/>
      <c r="S87" s="64"/>
      <c r="T87" s="40"/>
      <c r="U87" s="63"/>
      <c r="V87" s="64"/>
      <c r="W87" s="64"/>
      <c r="X87" s="63"/>
      <c r="Y87" s="64"/>
      <c r="Z87" s="40"/>
    </row>
    <row r="88" spans="2:26" x14ac:dyDescent="0.25">
      <c r="B88" s="198" t="s">
        <v>52</v>
      </c>
      <c r="C88" s="187"/>
      <c r="D88" s="188"/>
      <c r="E88" s="211"/>
      <c r="F88" s="212"/>
      <c r="G88" s="212"/>
      <c r="H88" s="212"/>
      <c r="I88" s="212"/>
      <c r="J88" s="212"/>
      <c r="K88" s="226"/>
      <c r="L88" s="16"/>
      <c r="N88" s="18"/>
      <c r="O88" s="16"/>
      <c r="R88" s="16"/>
      <c r="T88" s="18"/>
      <c r="U88" s="16"/>
      <c r="X88" s="16"/>
      <c r="Z88" s="18"/>
    </row>
    <row r="89" spans="2:26" x14ac:dyDescent="0.25">
      <c r="B89" s="199" t="s">
        <v>311</v>
      </c>
      <c r="C89" s="153">
        <f>SUM(C56,C64,C72,C78,C86)</f>
        <v>967.88783093919665</v>
      </c>
      <c r="D89" s="138"/>
      <c r="E89" s="201"/>
      <c r="F89" s="192"/>
      <c r="G89" s="192"/>
      <c r="H89" s="192"/>
      <c r="I89" s="192"/>
      <c r="J89" s="192"/>
      <c r="K89" s="153">
        <f>SUM(K56,K64,K72,K78,K86)</f>
        <v>638.57808827229155</v>
      </c>
      <c r="L89" s="153">
        <f>SUM(L56,L64,L72,L78,L86)</f>
        <v>87.371745818983101</v>
      </c>
      <c r="M89" s="138">
        <f t="shared" ref="M89:Z89" si="82">SUM(M56,M64,M72,M78,M86)</f>
        <v>223.06860607186667</v>
      </c>
      <c r="N89" s="148">
        <f t="shared" si="82"/>
        <v>0.62868230561386884</v>
      </c>
      <c r="O89" s="153">
        <f t="shared" si="82"/>
        <v>0</v>
      </c>
      <c r="P89" s="138">
        <f t="shared" si="82"/>
        <v>0</v>
      </c>
      <c r="Q89" s="148">
        <f t="shared" si="82"/>
        <v>4.6011939077636237</v>
      </c>
      <c r="R89" s="153">
        <f t="shared" si="82"/>
        <v>0</v>
      </c>
      <c r="S89" s="138">
        <f t="shared" si="82"/>
        <v>0</v>
      </c>
      <c r="T89" s="148">
        <f t="shared" si="82"/>
        <v>0</v>
      </c>
      <c r="U89" s="153">
        <f t="shared" si="82"/>
        <v>0</v>
      </c>
      <c r="V89" s="138">
        <f t="shared" si="82"/>
        <v>0</v>
      </c>
      <c r="W89" s="148">
        <f t="shared" si="82"/>
        <v>4.6011939077636237</v>
      </c>
      <c r="X89" s="153">
        <f t="shared" si="82"/>
        <v>0</v>
      </c>
      <c r="Y89" s="138">
        <f t="shared" si="82"/>
        <v>0</v>
      </c>
      <c r="Z89" s="148">
        <f t="shared" si="82"/>
        <v>0</v>
      </c>
    </row>
    <row r="90" spans="2:26" x14ac:dyDescent="0.25">
      <c r="B90" s="199" t="s">
        <v>312</v>
      </c>
      <c r="C90" s="153"/>
      <c r="D90" s="138"/>
      <c r="E90" s="201"/>
      <c r="F90" s="192"/>
      <c r="G90" s="192"/>
      <c r="H90" s="192"/>
      <c r="I90" s="192"/>
      <c r="J90" s="192"/>
      <c r="K90" s="153"/>
      <c r="L90" s="153"/>
      <c r="M90" s="138">
        <f>M42</f>
        <v>123.83988113289033</v>
      </c>
      <c r="N90" s="138">
        <f>N42</f>
        <v>0.59723201073934373</v>
      </c>
      <c r="O90" s="153"/>
      <c r="P90" s="138">
        <f t="shared" ref="P90:Q90" si="83">P42</f>
        <v>0</v>
      </c>
      <c r="Q90" s="138">
        <f t="shared" si="83"/>
        <v>3.1434668436997892</v>
      </c>
      <c r="R90" s="153"/>
      <c r="S90" s="138">
        <f t="shared" ref="S90:T90" si="84">S42</f>
        <v>0</v>
      </c>
      <c r="T90" s="138">
        <f t="shared" si="84"/>
        <v>0</v>
      </c>
      <c r="U90" s="153"/>
      <c r="V90" s="138">
        <f t="shared" ref="V90:W90" si="85">V42</f>
        <v>0</v>
      </c>
      <c r="W90" s="138">
        <f t="shared" si="85"/>
        <v>3.1402881053269702</v>
      </c>
      <c r="X90" s="153"/>
      <c r="Y90" s="138">
        <f t="shared" ref="Y90:Z90" si="86">Y42</f>
        <v>0</v>
      </c>
      <c r="Z90" s="148">
        <f t="shared" si="86"/>
        <v>0</v>
      </c>
    </row>
    <row r="91" spans="2:26" x14ac:dyDescent="0.25">
      <c r="B91" s="232" t="s">
        <v>313</v>
      </c>
      <c r="C91" s="154"/>
      <c r="D91" s="140"/>
      <c r="E91" s="217"/>
      <c r="F91" s="218"/>
      <c r="G91" s="218"/>
      <c r="H91" s="218"/>
      <c r="I91" s="218"/>
      <c r="J91" s="218"/>
      <c r="K91" s="229"/>
      <c r="L91" s="154">
        <f>L89+L90</f>
        <v>87.371745818983101</v>
      </c>
      <c r="M91" s="140">
        <f t="shared" ref="M91:O91" si="87">M89+M90</f>
        <v>346.90848720475697</v>
      </c>
      <c r="N91" s="149">
        <f t="shared" si="87"/>
        <v>1.2259143163532125</v>
      </c>
      <c r="O91" s="154">
        <f t="shared" si="87"/>
        <v>0</v>
      </c>
      <c r="P91" s="140">
        <f t="shared" ref="P91" si="88">P89+P90</f>
        <v>0</v>
      </c>
      <c r="Q91" s="149">
        <f t="shared" ref="Q91:R91" si="89">Q89+Q90</f>
        <v>7.7446607514634129</v>
      </c>
      <c r="R91" s="154">
        <f t="shared" si="89"/>
        <v>0</v>
      </c>
      <c r="S91" s="140">
        <f t="shared" ref="S91" si="90">S89+S90</f>
        <v>0</v>
      </c>
      <c r="T91" s="149">
        <f t="shared" ref="T91:U91" si="91">T89+T90</f>
        <v>0</v>
      </c>
      <c r="U91" s="154">
        <f t="shared" si="91"/>
        <v>0</v>
      </c>
      <c r="V91" s="140">
        <f t="shared" ref="V91" si="92">V89+V90</f>
        <v>0</v>
      </c>
      <c r="W91" s="149">
        <f t="shared" ref="W91:X91" si="93">W89+W90</f>
        <v>7.7414820130905939</v>
      </c>
      <c r="X91" s="154">
        <f t="shared" si="93"/>
        <v>0</v>
      </c>
      <c r="Y91" s="140">
        <f t="shared" ref="Y91" si="94">Y89+Y90</f>
        <v>0</v>
      </c>
      <c r="Z91" s="149">
        <f t="shared" ref="Z91" si="95">Z89+Z90</f>
        <v>0</v>
      </c>
    </row>
    <row r="94" spans="2:26" x14ac:dyDescent="0.25">
      <c r="L94" s="292" t="s">
        <v>320</v>
      </c>
      <c r="M94" s="293"/>
      <c r="N94" s="293"/>
      <c r="O94" s="293"/>
      <c r="P94" s="293"/>
      <c r="Q94" s="293"/>
      <c r="R94" s="293"/>
      <c r="S94" s="293"/>
      <c r="T94" s="293"/>
      <c r="U94" s="293"/>
      <c r="V94" s="293"/>
      <c r="W94" s="293"/>
      <c r="X94" s="293"/>
      <c r="Y94" s="293"/>
      <c r="Z94" s="294"/>
    </row>
    <row r="95" spans="2:26" x14ac:dyDescent="0.25">
      <c r="L95" s="330" t="s">
        <v>287</v>
      </c>
      <c r="M95" s="331"/>
      <c r="N95" s="332"/>
      <c r="O95" s="333" t="s">
        <v>290</v>
      </c>
      <c r="P95" s="333"/>
      <c r="Q95" s="333"/>
      <c r="R95" s="333" t="s">
        <v>292</v>
      </c>
      <c r="S95" s="333"/>
      <c r="T95" s="333"/>
      <c r="U95" s="333" t="s">
        <v>293</v>
      </c>
      <c r="V95" s="333"/>
      <c r="W95" s="333"/>
      <c r="X95" s="333" t="s">
        <v>294</v>
      </c>
      <c r="Y95" s="333"/>
      <c r="Z95" s="333"/>
    </row>
    <row r="96" spans="2:26" ht="21" x14ac:dyDescent="0.25">
      <c r="L96" s="220" t="s">
        <v>303</v>
      </c>
      <c r="M96" s="221" t="s">
        <v>288</v>
      </c>
      <c r="N96" s="222" t="s">
        <v>289</v>
      </c>
      <c r="O96" s="220" t="s">
        <v>303</v>
      </c>
      <c r="P96" s="221" t="s">
        <v>288</v>
      </c>
      <c r="Q96" s="222" t="s">
        <v>319</v>
      </c>
      <c r="R96" s="220" t="s">
        <v>303</v>
      </c>
      <c r="S96" s="221" t="s">
        <v>288</v>
      </c>
      <c r="T96" s="222" t="s">
        <v>289</v>
      </c>
      <c r="U96" s="220" t="s">
        <v>303</v>
      </c>
      <c r="V96" s="221" t="s">
        <v>288</v>
      </c>
      <c r="W96" s="222" t="s">
        <v>289</v>
      </c>
      <c r="X96" s="220" t="s">
        <v>303</v>
      </c>
      <c r="Y96" s="221" t="s">
        <v>288</v>
      </c>
      <c r="Z96" s="222" t="s">
        <v>289</v>
      </c>
    </row>
    <row r="97" spans="10:26" x14ac:dyDescent="0.25">
      <c r="L97" s="223"/>
      <c r="M97" s="236"/>
      <c r="N97" s="224"/>
      <c r="O97" s="236"/>
      <c r="P97" s="236"/>
      <c r="Q97" s="224"/>
      <c r="R97" s="236"/>
      <c r="S97" s="236"/>
      <c r="T97" s="224"/>
      <c r="U97" s="223"/>
      <c r="V97" s="236"/>
      <c r="W97" s="224"/>
      <c r="X97" s="236"/>
      <c r="Y97" s="236"/>
      <c r="Z97" s="224"/>
    </row>
    <row r="98" spans="10:26" x14ac:dyDescent="0.25">
      <c r="J98" s="150" t="s">
        <v>453</v>
      </c>
      <c r="K98" s="51"/>
      <c r="L98" s="237">
        <f>SUMIF(Customer!$G$12:$G$42,"HV",Customer!$K$12:$K$42)</f>
        <v>1083.303552034185</v>
      </c>
      <c r="M98" s="238">
        <f>SUMIF(Customer!$G$12:$G$42,"HV",Customer!$L$12:$L$42)</f>
        <v>150.81071834755889</v>
      </c>
      <c r="N98" s="239">
        <f>SUMIF(Customer!$G$12:$G$42,"HV",Customer!$J$12:$J$42)</f>
        <v>6</v>
      </c>
      <c r="O98" s="238">
        <f>SUMIFS(Customer!$K$12:$K$42,Customer!$G$12:$G$42,"MV",Customer!$F$12:$F$42,"Urban")</f>
        <v>0</v>
      </c>
      <c r="P98" s="238">
        <f>SUMIFS(Customer!$L$12:$L$42,Customer!$G$12:$G$42,"MV",Customer!$F$12:$F$42,"Urban")</f>
        <v>0</v>
      </c>
      <c r="Q98" s="239">
        <f>SUMIFS(Customer!$J$12:$J$42,Customer!$G$12:$G$42,"MV",Customer!$F$12:$F$42,"Urban")</f>
        <v>0</v>
      </c>
      <c r="R98" s="238">
        <f>SUMIFS(Customer!$K$12:$K$42,Customer!$G$12:$G$42,"MV",Customer!$F$12:$F$42,"Rural")</f>
        <v>0</v>
      </c>
      <c r="S98" s="238">
        <f>SUMIFS(Customer!$L$12:$L$42,Customer!$G$12:$G$42,"MV",Customer!$F$12:$F$42,"Rural")</f>
        <v>0</v>
      </c>
      <c r="T98" s="239">
        <f>SUMIFS(Customer!$J$12:$J$42,Customer!$G$12:$G$42,"MV",Customer!$F$12:$F$42,"Rural")</f>
        <v>0</v>
      </c>
      <c r="U98" s="237">
        <f>SUMIFS(Customer!$K$12:$K$42,Customer!$G$12:$G$42,"LV",Customer!$F$12:$F$42,"Urban")</f>
        <v>0</v>
      </c>
      <c r="V98" s="238">
        <f>SUMIFS(Customer!$L$12:$L$42,Customer!$G$12:$G$42,"LV",Customer!$F$12:$F$42,"Urban")</f>
        <v>0</v>
      </c>
      <c r="W98" s="239">
        <f>SUMIFS(Customer!$J$12:$J$42,Customer!$G$12:$G$42,"LV",Customer!$F$12:$F$42,"Urban")</f>
        <v>0</v>
      </c>
      <c r="X98" s="238">
        <f>SUMIFS(Customer!$K$12:$K$42,Customer!$G$12:$G$42,"LV",Customer!$F$12:$F$42,"Rural")</f>
        <v>0</v>
      </c>
      <c r="Y98" s="238">
        <f>SUMIFS(Customer!$L$12:$L$42,Customer!$G$12:$G$42,"LV",Customer!$F$12:$F$42,"Rural")</f>
        <v>0</v>
      </c>
      <c r="Z98" s="239">
        <f>SUMIFS(Customer!$J$12:$J$42,Customer!$G$12:$G$42,"LV",Customer!$F$12:$F$42,"Rural")</f>
        <v>0</v>
      </c>
    </row>
    <row r="99" spans="10:26" s="233" customFormat="1" ht="31.5" x14ac:dyDescent="0.25">
      <c r="L99" s="240" t="s">
        <v>314</v>
      </c>
      <c r="M99" s="241" t="s">
        <v>315</v>
      </c>
      <c r="N99" s="242" t="s">
        <v>243</v>
      </c>
      <c r="O99" s="241" t="s">
        <v>314</v>
      </c>
      <c r="P99" s="241" t="s">
        <v>315</v>
      </c>
      <c r="Q99" s="242" t="s">
        <v>321</v>
      </c>
      <c r="R99" s="241" t="s">
        <v>314</v>
      </c>
      <c r="S99" s="241" t="s">
        <v>322</v>
      </c>
      <c r="T99" s="242" t="s">
        <v>451</v>
      </c>
      <c r="U99" s="240" t="s">
        <v>314</v>
      </c>
      <c r="V99" s="241" t="s">
        <v>322</v>
      </c>
      <c r="W99" s="242" t="s">
        <v>243</v>
      </c>
      <c r="X99" s="241" t="s">
        <v>314</v>
      </c>
      <c r="Y99" s="241" t="s">
        <v>322</v>
      </c>
      <c r="Z99" s="242" t="s">
        <v>324</v>
      </c>
    </row>
    <row r="100" spans="10:26" s="233" customFormat="1" x14ac:dyDescent="0.25">
      <c r="L100" s="240"/>
      <c r="M100" s="241"/>
      <c r="N100" s="242"/>
      <c r="O100" s="241"/>
      <c r="P100" s="241"/>
      <c r="Q100" s="242"/>
      <c r="R100" s="241"/>
      <c r="S100" s="241"/>
      <c r="T100" s="242"/>
      <c r="U100" s="240"/>
      <c r="V100" s="241"/>
      <c r="W100" s="242"/>
      <c r="X100" s="241"/>
      <c r="Y100" s="241"/>
      <c r="Z100" s="242"/>
    </row>
    <row r="101" spans="10:26" x14ac:dyDescent="0.25">
      <c r="J101" s="150" t="s">
        <v>454</v>
      </c>
      <c r="K101" s="51"/>
      <c r="L101" s="243">
        <f>IFERROR(L91/L98,"--")</f>
        <v>8.0653059481730544E-2</v>
      </c>
      <c r="M101" s="244">
        <f>IFERROR(M91*1000/M98,"--")</f>
        <v>2300.2906624002048</v>
      </c>
      <c r="N101" s="245">
        <f>IFERROR(N91*10^6/N98,"--")</f>
        <v>204319.05272553544</v>
      </c>
      <c r="O101" s="249" t="str">
        <f t="shared" ref="O101" si="96">IFERROR(O91/O98,"--")</f>
        <v>--</v>
      </c>
      <c r="P101" s="244" t="str">
        <f t="shared" ref="P101" si="97">IFERROR(P91*1000/P98,"--")</f>
        <v>--</v>
      </c>
      <c r="Q101" s="245" t="str">
        <f t="shared" ref="Q101" si="98">IFERROR(Q91*10^6/Q98,"--")</f>
        <v>--</v>
      </c>
      <c r="R101" s="249" t="str">
        <f t="shared" ref="R101" si="99">IFERROR(R91/R98,"--")</f>
        <v>--</v>
      </c>
      <c r="S101" s="244" t="str">
        <f t="shared" ref="S101" si="100">IFERROR(S91*1000/S98,"--")</f>
        <v>--</v>
      </c>
      <c r="T101" s="245" t="str">
        <f t="shared" ref="T101" si="101">IFERROR(T91*10^6/T98,"--")</f>
        <v>--</v>
      </c>
      <c r="U101" s="243" t="str">
        <f t="shared" ref="U101" si="102">IFERROR(U91/U98,"--")</f>
        <v>--</v>
      </c>
      <c r="V101" s="244" t="str">
        <f t="shared" ref="V101" si="103">IFERROR(V91*1000/V98,"--")</f>
        <v>--</v>
      </c>
      <c r="W101" s="245" t="str">
        <f t="shared" ref="W101" si="104">IFERROR(W91*10^6/W98,"--")</f>
        <v>--</v>
      </c>
      <c r="X101" s="249" t="str">
        <f t="shared" ref="X101" si="105">IFERROR(X91/X98,"--")</f>
        <v>--</v>
      </c>
      <c r="Y101" s="244" t="str">
        <f t="shared" ref="Y101" si="106">IFERROR(Y91*1000/Y98,"--")</f>
        <v>--</v>
      </c>
      <c r="Z101" s="245" t="str">
        <f t="shared" ref="Z101" si="107">IFERROR(Z91*10^6/Z98,"--")</f>
        <v>--</v>
      </c>
    </row>
    <row r="102" spans="10:26" s="235" customFormat="1" x14ac:dyDescent="0.35">
      <c r="L102" s="246" t="s">
        <v>60</v>
      </c>
      <c r="M102" s="247" t="s">
        <v>61</v>
      </c>
      <c r="N102" s="248" t="s">
        <v>318</v>
      </c>
      <c r="O102" s="247" t="s">
        <v>60</v>
      </c>
      <c r="P102" s="247" t="s">
        <v>61</v>
      </c>
      <c r="Q102" s="248" t="s">
        <v>323</v>
      </c>
      <c r="R102" s="247" t="s">
        <v>60</v>
      </c>
      <c r="S102" s="247" t="s">
        <v>61</v>
      </c>
      <c r="T102" s="248" t="s">
        <v>323</v>
      </c>
      <c r="U102" s="246" t="s">
        <v>60</v>
      </c>
      <c r="V102" s="247" t="s">
        <v>61</v>
      </c>
      <c r="W102" s="248" t="s">
        <v>323</v>
      </c>
      <c r="X102" s="247" t="s">
        <v>60</v>
      </c>
      <c r="Y102" s="247" t="s">
        <v>61</v>
      </c>
      <c r="Z102" s="248" t="s">
        <v>323</v>
      </c>
    </row>
    <row r="103" spans="10:26" x14ac:dyDescent="0.25">
      <c r="L103" s="234"/>
      <c r="M103" s="234"/>
      <c r="N103" s="234"/>
      <c r="O103" s="234"/>
      <c r="P103" s="234"/>
      <c r="Q103" s="234"/>
      <c r="R103" s="234"/>
      <c r="S103" s="234"/>
      <c r="T103" s="234"/>
      <c r="U103" s="234"/>
      <c r="V103" s="234"/>
      <c r="W103" s="234"/>
      <c r="X103" s="234"/>
      <c r="Y103" s="234"/>
      <c r="Z103" s="234"/>
    </row>
    <row r="104" spans="10:26" x14ac:dyDescent="0.25">
      <c r="L104" s="234"/>
      <c r="M104" s="234"/>
      <c r="N104" s="234"/>
      <c r="O104" s="234"/>
      <c r="P104" s="234"/>
      <c r="Q104" s="234"/>
      <c r="R104" s="234"/>
      <c r="S104" s="234"/>
      <c r="T104" s="234"/>
      <c r="U104" s="234"/>
      <c r="V104" s="234"/>
      <c r="W104" s="234"/>
      <c r="X104" s="234"/>
      <c r="Y104" s="234"/>
      <c r="Z104" s="234"/>
    </row>
    <row r="105" spans="10:26" x14ac:dyDescent="0.25">
      <c r="L105" s="330" t="s">
        <v>316</v>
      </c>
      <c r="M105" s="331"/>
      <c r="N105" s="332"/>
      <c r="Q105" s="330" t="s">
        <v>325</v>
      </c>
      <c r="R105" s="331"/>
      <c r="S105" s="332"/>
      <c r="V105" s="330" t="s">
        <v>452</v>
      </c>
      <c r="W105" s="331"/>
      <c r="X105" s="332"/>
    </row>
    <row r="106" spans="10:26" x14ac:dyDescent="0.25">
      <c r="L106" s="234" t="s">
        <v>287</v>
      </c>
      <c r="M106" s="234" t="s">
        <v>317</v>
      </c>
      <c r="N106" s="234" t="s">
        <v>285</v>
      </c>
      <c r="Q106" s="234" t="s">
        <v>287</v>
      </c>
      <c r="R106" s="234" t="s">
        <v>317</v>
      </c>
      <c r="S106" s="234" t="s">
        <v>285</v>
      </c>
      <c r="V106" s="234" t="s">
        <v>287</v>
      </c>
      <c r="W106" s="234" t="s">
        <v>317</v>
      </c>
      <c r="X106" s="234" t="s">
        <v>285</v>
      </c>
    </row>
    <row r="107" spans="10:26" x14ac:dyDescent="0.25">
      <c r="K107" s="1" t="s">
        <v>326</v>
      </c>
      <c r="L107" s="251">
        <f>$L$101</f>
        <v>8.0653059481730544E-2</v>
      </c>
      <c r="M107" s="252" t="str">
        <f>$O$101</f>
        <v>--</v>
      </c>
      <c r="N107" s="253" t="str">
        <f>$U$101</f>
        <v>--</v>
      </c>
      <c r="P107" s="1" t="s">
        <v>326</v>
      </c>
      <c r="Q107" s="257">
        <f>$M$101</f>
        <v>2300.2906624002048</v>
      </c>
      <c r="R107" s="258" t="str">
        <f>$P$101</f>
        <v>--</v>
      </c>
      <c r="S107" s="259" t="str">
        <f>$V$101</f>
        <v>--</v>
      </c>
      <c r="U107" s="1" t="s">
        <v>326</v>
      </c>
      <c r="V107" s="257">
        <f>$N$101</f>
        <v>204319.05272553544</v>
      </c>
      <c r="W107" s="258" t="str">
        <f>$Q$101</f>
        <v>--</v>
      </c>
      <c r="X107" s="259" t="str">
        <f>$W$101</f>
        <v>--</v>
      </c>
    </row>
    <row r="108" spans="10:26" x14ac:dyDescent="0.25">
      <c r="K108" s="1" t="s">
        <v>57</v>
      </c>
      <c r="L108" s="254">
        <f>$L$101</f>
        <v>8.0653059481730544E-2</v>
      </c>
      <c r="M108" s="255" t="str">
        <f>$R$101</f>
        <v>--</v>
      </c>
      <c r="N108" s="256" t="str">
        <f>$X$101</f>
        <v>--</v>
      </c>
      <c r="P108" s="1" t="s">
        <v>57</v>
      </c>
      <c r="Q108" s="260">
        <f>$M$101</f>
        <v>2300.2906624002048</v>
      </c>
      <c r="R108" s="261" t="str">
        <f>$S$101</f>
        <v>--</v>
      </c>
      <c r="S108" s="262" t="str">
        <f>$Y$101</f>
        <v>--</v>
      </c>
      <c r="U108" s="1" t="s">
        <v>57</v>
      </c>
      <c r="V108" s="260">
        <f>$N$101</f>
        <v>204319.05272553544</v>
      </c>
      <c r="W108" s="261" t="str">
        <f>$T$101</f>
        <v>--</v>
      </c>
      <c r="X108" s="262" t="str">
        <f>$Z$101</f>
        <v>--</v>
      </c>
    </row>
  </sheetData>
  <mergeCells count="23">
    <mergeCell ref="C14:K15"/>
    <mergeCell ref="C46:K47"/>
    <mergeCell ref="L14:Z14"/>
    <mergeCell ref="L15:N15"/>
    <mergeCell ref="O15:Q15"/>
    <mergeCell ref="R15:T15"/>
    <mergeCell ref="U15:W15"/>
    <mergeCell ref="L94:Z94"/>
    <mergeCell ref="X15:Z15"/>
    <mergeCell ref="L46:Z46"/>
    <mergeCell ref="L47:N47"/>
    <mergeCell ref="O47:Q47"/>
    <mergeCell ref="R47:T47"/>
    <mergeCell ref="U47:W47"/>
    <mergeCell ref="X47:Z47"/>
    <mergeCell ref="L105:N105"/>
    <mergeCell ref="Q105:S105"/>
    <mergeCell ref="V105:X105"/>
    <mergeCell ref="L95:N95"/>
    <mergeCell ref="O95:Q95"/>
    <mergeCell ref="R95:T95"/>
    <mergeCell ref="U95:W95"/>
    <mergeCell ref="X95:Z9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D37"/>
  <sheetViews>
    <sheetView showGridLines="0" topLeftCell="B1" zoomScale="120" zoomScaleNormal="120" workbookViewId="0">
      <pane xSplit="6" ySplit="5" topLeftCell="H33" activePane="bottomRight" state="frozen"/>
      <selection activeCell="B1" sqref="B1"/>
      <selection pane="topRight" activeCell="H1" sqref="H1"/>
      <selection pane="bottomLeft" activeCell="B6" sqref="B6"/>
      <selection pane="bottomRight" activeCell="G44" sqref="G44"/>
    </sheetView>
  </sheetViews>
  <sheetFormatPr defaultColWidth="9.1796875" defaultRowHeight="10.5" x14ac:dyDescent="0.25"/>
  <cols>
    <col min="1" max="2" width="5.54296875" style="1" customWidth="1"/>
    <col min="3" max="5" width="9.1796875" style="1"/>
    <col min="6" max="6" width="10.453125" style="1" customWidth="1"/>
    <col min="7" max="16384" width="9.1796875" style="1"/>
  </cols>
  <sheetData>
    <row r="2" spans="2:30" x14ac:dyDescent="0.25">
      <c r="M2" s="4" t="s">
        <v>327</v>
      </c>
    </row>
    <row r="4" spans="2:30" s="91" customFormat="1" ht="22.5" customHeight="1" x14ac:dyDescent="0.35">
      <c r="C4" s="323" t="s">
        <v>144</v>
      </c>
      <c r="D4" s="322"/>
      <c r="E4" s="322"/>
      <c r="F4" s="322" t="s">
        <v>328</v>
      </c>
      <c r="G4" s="322" t="s">
        <v>329</v>
      </c>
      <c r="H4" s="341" t="s">
        <v>330</v>
      </c>
      <c r="I4" s="328"/>
      <c r="J4" s="329"/>
      <c r="K4" s="341" t="s">
        <v>331</v>
      </c>
      <c r="L4" s="328"/>
      <c r="M4" s="328"/>
      <c r="N4" s="329"/>
      <c r="O4" s="328" t="s">
        <v>334</v>
      </c>
      <c r="P4" s="328"/>
      <c r="Q4" s="328"/>
      <c r="R4" s="329"/>
      <c r="S4" s="328" t="s">
        <v>338</v>
      </c>
      <c r="T4" s="328"/>
      <c r="U4" s="328"/>
      <c r="V4" s="329"/>
      <c r="AB4" s="94" t="s">
        <v>60</v>
      </c>
      <c r="AC4" s="94" t="s">
        <v>61</v>
      </c>
      <c r="AD4" s="94" t="s">
        <v>62</v>
      </c>
    </row>
    <row r="5" spans="2:30" s="91" customFormat="1" ht="31.5" x14ac:dyDescent="0.35">
      <c r="C5" s="295"/>
      <c r="D5" s="296"/>
      <c r="E5" s="296"/>
      <c r="F5" s="296"/>
      <c r="G5" s="296"/>
      <c r="H5" s="209" t="s">
        <v>314</v>
      </c>
      <c r="I5" s="182" t="s">
        <v>322</v>
      </c>
      <c r="J5" s="183" t="s">
        <v>243</v>
      </c>
      <c r="K5" s="209" t="s">
        <v>83</v>
      </c>
      <c r="L5" s="182" t="s">
        <v>253</v>
      </c>
      <c r="M5" s="182" t="s">
        <v>332</v>
      </c>
      <c r="N5" s="183" t="s">
        <v>333</v>
      </c>
      <c r="O5" s="182" t="s">
        <v>265</v>
      </c>
      <c r="P5" s="182" t="s">
        <v>335</v>
      </c>
      <c r="Q5" s="182" t="s">
        <v>336</v>
      </c>
      <c r="R5" s="183" t="s">
        <v>337</v>
      </c>
      <c r="S5" s="209" t="s">
        <v>83</v>
      </c>
      <c r="T5" s="182" t="s">
        <v>339</v>
      </c>
      <c r="U5" s="182" t="s">
        <v>257</v>
      </c>
      <c r="V5" s="183" t="s">
        <v>333</v>
      </c>
      <c r="AB5" s="91" t="s">
        <v>455</v>
      </c>
      <c r="AC5" s="91" t="s">
        <v>256</v>
      </c>
      <c r="AD5" s="91" t="s">
        <v>257</v>
      </c>
    </row>
    <row r="6" spans="2:30" x14ac:dyDescent="0.25">
      <c r="B6" s="1">
        <v>1</v>
      </c>
      <c r="C6" s="77" t="str">
        <f>Customer!C12</f>
        <v>CAT 1</v>
      </c>
      <c r="F6" s="267" t="str">
        <f>Customer!F12</f>
        <v>Urbain</v>
      </c>
      <c r="G6" s="267" t="str">
        <f>Customer!G12</f>
        <v>LV</v>
      </c>
      <c r="H6" s="250">
        <f>Customer!K12</f>
        <v>768.02</v>
      </c>
      <c r="I6" s="250">
        <f>Customer!L12</f>
        <v>261.71198800517959</v>
      </c>
      <c r="J6" s="250">
        <f>Customer!J12</f>
        <v>176839.57453764943</v>
      </c>
      <c r="K6" s="210">
        <f t="shared" ref="K6:K36" si="0">H6*AB6</f>
        <v>0</v>
      </c>
      <c r="L6" s="210">
        <f t="shared" ref="L6:L36" si="1">I6*AC6/1000</f>
        <v>0</v>
      </c>
      <c r="M6" s="210">
        <f t="shared" ref="M6:M36" si="2">J6*AD6/10^6</f>
        <v>0</v>
      </c>
      <c r="N6" s="210">
        <f>K6+L6+M6</f>
        <v>0</v>
      </c>
      <c r="O6" s="210">
        <f>Customer!AD12</f>
        <v>211.47521511481253</v>
      </c>
      <c r="P6" s="210">
        <f>Customer!AE12</f>
        <v>7.9418337599999198</v>
      </c>
      <c r="Q6" s="210">
        <f>Customer!AF12</f>
        <v>0</v>
      </c>
      <c r="R6" s="268">
        <f>O6+P6+Q6</f>
        <v>219.41704887481245</v>
      </c>
      <c r="S6" s="273" t="str">
        <f>IFERROR(O6/K6,"--")</f>
        <v>--</v>
      </c>
      <c r="T6" s="273" t="str">
        <f t="shared" ref="T6:T37" si="3">IFERROR(P6/L6,"--")</f>
        <v>--</v>
      </c>
      <c r="U6" s="273" t="str">
        <f t="shared" ref="U6:U37" si="4">IFERROR(Q6/M6,"--")</f>
        <v>--</v>
      </c>
      <c r="V6" s="274" t="str">
        <f t="shared" ref="V6:V37" si="5">IFERROR(R6/N6,"--")</f>
        <v>--</v>
      </c>
      <c r="AB6" s="263" cm="1">
        <f t="array" ref="AB6">IFERROR(_xlfn.XLOOKUP($F6,V.Realloc!$K$107:$K$108,_xlfn.XLOOKUP($G6,V.Realloc!$L$106:$N$106,V.Realloc!$L$107:$N$108)),0)</f>
        <v>0</v>
      </c>
      <c r="AC6" s="264" cm="1">
        <f t="array" ref="AC6">IFERROR(_xlfn.XLOOKUP($F6,V.Realloc!$P$107:$P$108,_xlfn.XLOOKUP($G6,V.Realloc!$Q$106:$S$106,V.Realloc!$Q$107:$S$108)),0)</f>
        <v>0</v>
      </c>
      <c r="AD6" s="264" cm="1">
        <f t="array" ref="AD6">IFERROR(_xlfn.XLOOKUP($F6,V.Realloc!$U$107:$U$108,_xlfn.XLOOKUP($G6,V.Realloc!$V$106:$X$106,V.Realloc!$V$107:$X$108)),0)</f>
        <v>0</v>
      </c>
    </row>
    <row r="7" spans="2:30" x14ac:dyDescent="0.25">
      <c r="B7" s="1">
        <v>2</v>
      </c>
      <c r="C7" s="77" t="str">
        <f>Customer!C13</f>
        <v>CAT 2</v>
      </c>
      <c r="F7" s="267" t="str">
        <f>Customer!F13</f>
        <v>Urbain</v>
      </c>
      <c r="G7" s="267" t="str">
        <f>Customer!G13</f>
        <v>LV</v>
      </c>
      <c r="H7" s="250">
        <f>Customer!K13</f>
        <v>44.7408</v>
      </c>
      <c r="I7" s="250">
        <f>Customer!L13</f>
        <v>12.768493150684932</v>
      </c>
      <c r="J7" s="250">
        <f>Customer!J13</f>
        <v>1712.7674844635237</v>
      </c>
      <c r="K7" s="210">
        <f t="shared" si="0"/>
        <v>0</v>
      </c>
      <c r="L7" s="210">
        <f t="shared" si="1"/>
        <v>0</v>
      </c>
      <c r="M7" s="210">
        <f t="shared" si="2"/>
        <v>0</v>
      </c>
      <c r="N7" s="210">
        <f t="shared" ref="N7:N36" si="6">K7+L7+M7</f>
        <v>0</v>
      </c>
      <c r="O7" s="210">
        <f>Customer!AD13</f>
        <v>23.064351472799984</v>
      </c>
      <c r="P7" s="210">
        <f>Customer!AE13</f>
        <v>0.56297043600001595</v>
      </c>
      <c r="Q7" s="210">
        <f>Customer!AF13</f>
        <v>0</v>
      </c>
      <c r="R7" s="268">
        <f t="shared" ref="R7:R36" si="7">O7+P7+Q7</f>
        <v>23.627321908799999</v>
      </c>
      <c r="S7" s="273" t="str">
        <f t="shared" ref="S7:S37" si="8">IFERROR(O7/K7,"--")</f>
        <v>--</v>
      </c>
      <c r="T7" s="273" t="str">
        <f t="shared" si="3"/>
        <v>--</v>
      </c>
      <c r="U7" s="273" t="str">
        <f t="shared" si="4"/>
        <v>--</v>
      </c>
      <c r="V7" s="274" t="str">
        <f t="shared" si="5"/>
        <v>--</v>
      </c>
      <c r="AB7" s="263" cm="1">
        <f t="array" ref="AB7">IFERROR(_xlfn.XLOOKUP($F7,V.Realloc!$K$107:$K$108,_xlfn.XLOOKUP($G7,V.Realloc!$L$106:$N$106,V.Realloc!$L$107:$N$108)),0)</f>
        <v>0</v>
      </c>
      <c r="AC7" s="264" cm="1">
        <f t="array" ref="AC7">IFERROR(_xlfn.XLOOKUP($F7,V.Realloc!$P$107:$P$108,_xlfn.XLOOKUP($G7,V.Realloc!$Q$106:$S$106,V.Realloc!$Q$107:$S$108)),0)</f>
        <v>0</v>
      </c>
      <c r="AD7" s="264" cm="1">
        <f t="array" ref="AD7">IFERROR(_xlfn.XLOOKUP($F7,V.Realloc!$U$107:$U$108,_xlfn.XLOOKUP($G7,V.Realloc!$V$106:$X$106,V.Realloc!$V$107:$X$108)),0)</f>
        <v>0</v>
      </c>
    </row>
    <row r="8" spans="2:30" x14ac:dyDescent="0.25">
      <c r="B8" s="1">
        <v>3</v>
      </c>
      <c r="C8" s="77" t="str">
        <f>Customer!C14</f>
        <v>CAT 3</v>
      </c>
      <c r="F8" s="267" t="str">
        <f>Customer!F14</f>
        <v>Urbain</v>
      </c>
      <c r="G8" s="267" t="str">
        <f>Customer!G14</f>
        <v>LV</v>
      </c>
      <c r="H8" s="250">
        <f>Customer!K14</f>
        <v>1.7280000000000002</v>
      </c>
      <c r="I8" s="250">
        <f>Customer!L14</f>
        <v>0.49315068493150693</v>
      </c>
      <c r="J8" s="250">
        <f>Customer!J14</f>
        <v>655.52318865899611</v>
      </c>
      <c r="K8" s="210">
        <f t="shared" si="0"/>
        <v>0</v>
      </c>
      <c r="L8" s="210">
        <f t="shared" si="1"/>
        <v>0</v>
      </c>
      <c r="M8" s="210">
        <f t="shared" si="2"/>
        <v>0</v>
      </c>
      <c r="N8" s="210">
        <f t="shared" si="6"/>
        <v>0</v>
      </c>
      <c r="O8" s="210">
        <f>Customer!AD14</f>
        <v>0.69431661439999992</v>
      </c>
      <c r="P8" s="210">
        <f>Customer!AE14</f>
        <v>2.3056608000000121E-2</v>
      </c>
      <c r="Q8" s="210">
        <f>Customer!AF14</f>
        <v>0</v>
      </c>
      <c r="R8" s="268">
        <f t="shared" si="7"/>
        <v>0.71737322240000001</v>
      </c>
      <c r="S8" s="273" t="str">
        <f t="shared" si="8"/>
        <v>--</v>
      </c>
      <c r="T8" s="273" t="str">
        <f t="shared" si="3"/>
        <v>--</v>
      </c>
      <c r="U8" s="273" t="str">
        <f t="shared" si="4"/>
        <v>--</v>
      </c>
      <c r="V8" s="274" t="str">
        <f t="shared" si="5"/>
        <v>--</v>
      </c>
      <c r="AB8" s="263" cm="1">
        <f t="array" ref="AB8">IFERROR(_xlfn.XLOOKUP($F8,V.Realloc!$K$107:$K$108,_xlfn.XLOOKUP($G8,V.Realloc!$L$106:$N$106,V.Realloc!$L$107:$N$108)),0)</f>
        <v>0</v>
      </c>
      <c r="AC8" s="264" cm="1">
        <f t="array" ref="AC8">IFERROR(_xlfn.XLOOKUP($F8,V.Realloc!$P$107:$P$108,_xlfn.XLOOKUP($G8,V.Realloc!$Q$106:$S$106,V.Realloc!$Q$107:$S$108)),0)</f>
        <v>0</v>
      </c>
      <c r="AD8" s="264" cm="1">
        <f t="array" ref="AD8">IFERROR(_xlfn.XLOOKUP($F8,V.Realloc!$U$107:$U$108,_xlfn.XLOOKUP($G8,V.Realloc!$V$106:$X$106,V.Realloc!$V$107:$X$108)),0)</f>
        <v>0</v>
      </c>
    </row>
    <row r="9" spans="2:30" x14ac:dyDescent="0.25">
      <c r="B9" s="1">
        <v>4</v>
      </c>
      <c r="C9" s="77" t="str">
        <f>Customer!C15</f>
        <v>CAT 4</v>
      </c>
      <c r="F9" s="267" t="str">
        <f>Customer!F15</f>
        <v>Urbain</v>
      </c>
      <c r="G9" s="267" t="str">
        <f>Customer!G15</f>
        <v>LV</v>
      </c>
      <c r="H9" s="250">
        <f>Customer!K15</f>
        <v>171.17179943713748</v>
      </c>
      <c r="I9" s="250">
        <f>Customer!L15</f>
        <v>43.422577229106409</v>
      </c>
      <c r="J9" s="250">
        <f>Customer!J15</f>
        <v>13351.377467741533</v>
      </c>
      <c r="K9" s="210">
        <f t="shared" si="0"/>
        <v>0</v>
      </c>
      <c r="L9" s="210">
        <f t="shared" si="1"/>
        <v>0</v>
      </c>
      <c r="M9" s="210">
        <f t="shared" si="2"/>
        <v>0</v>
      </c>
      <c r="N9" s="210">
        <f t="shared" si="6"/>
        <v>0</v>
      </c>
      <c r="O9" s="210">
        <f>Customer!AD15</f>
        <v>89.468985711391781</v>
      </c>
      <c r="P9" s="210">
        <f>Customer!AE15</f>
        <v>2.94592618000009</v>
      </c>
      <c r="Q9" s="210">
        <f>Customer!AF15</f>
        <v>0</v>
      </c>
      <c r="R9" s="268">
        <f t="shared" si="7"/>
        <v>92.414911891391867</v>
      </c>
      <c r="S9" s="273" t="str">
        <f t="shared" si="8"/>
        <v>--</v>
      </c>
      <c r="T9" s="273" t="str">
        <f t="shared" si="3"/>
        <v>--</v>
      </c>
      <c r="U9" s="273" t="str">
        <f t="shared" si="4"/>
        <v>--</v>
      </c>
      <c r="V9" s="274" t="str">
        <f t="shared" si="5"/>
        <v>--</v>
      </c>
      <c r="AB9" s="263" cm="1">
        <f t="array" ref="AB9">IFERROR(_xlfn.XLOOKUP($F9,V.Realloc!$K$107:$K$108,_xlfn.XLOOKUP($G9,V.Realloc!$L$106:$N$106,V.Realloc!$L$107:$N$108)),0)</f>
        <v>0</v>
      </c>
      <c r="AC9" s="264" cm="1">
        <f t="array" ref="AC9">IFERROR(_xlfn.XLOOKUP($F9,V.Realloc!$P$107:$P$108,_xlfn.XLOOKUP($G9,V.Realloc!$Q$106:$S$106,V.Realloc!$Q$107:$S$108)),0)</f>
        <v>0</v>
      </c>
      <c r="AD9" s="264" cm="1">
        <f t="array" ref="AD9">IFERROR(_xlfn.XLOOKUP($F9,V.Realloc!$U$107:$U$108,_xlfn.XLOOKUP($G9,V.Realloc!$V$106:$X$106,V.Realloc!$V$107:$X$108)),0)</f>
        <v>0</v>
      </c>
    </row>
    <row r="10" spans="2:30" x14ac:dyDescent="0.25">
      <c r="B10" s="1">
        <v>5</v>
      </c>
      <c r="C10" s="77" t="str">
        <f>Customer!C16</f>
        <v>CAT 5</v>
      </c>
      <c r="F10" s="267" t="str">
        <f>Customer!F16</f>
        <v>Urbain</v>
      </c>
      <c r="G10" s="267" t="str">
        <f>Customer!G16</f>
        <v>LV</v>
      </c>
      <c r="H10" s="250">
        <f>Customer!K16</f>
        <v>326.84869048302801</v>
      </c>
      <c r="I10" s="250">
        <f>Customer!L16</f>
        <v>82.914431883061383</v>
      </c>
      <c r="J10" s="250">
        <f>Customer!J16</f>
        <v>1821.2282177352934</v>
      </c>
      <c r="K10" s="210">
        <f t="shared" si="0"/>
        <v>0</v>
      </c>
      <c r="L10" s="210">
        <f t="shared" si="1"/>
        <v>0</v>
      </c>
      <c r="M10" s="210">
        <f t="shared" si="2"/>
        <v>0</v>
      </c>
      <c r="N10" s="210">
        <f t="shared" si="6"/>
        <v>0</v>
      </c>
      <c r="O10" s="210">
        <f>Customer!AD16</f>
        <v>108.20891992783322</v>
      </c>
      <c r="P10" s="210">
        <f>Customer!AE16</f>
        <v>0.53920870999999704</v>
      </c>
      <c r="Q10" s="210">
        <f>Customer!AF16</f>
        <v>57.73704274</v>
      </c>
      <c r="R10" s="268">
        <f t="shared" si="7"/>
        <v>166.48517137783321</v>
      </c>
      <c r="S10" s="273" t="str">
        <f t="shared" si="8"/>
        <v>--</v>
      </c>
      <c r="T10" s="273" t="str">
        <f t="shared" si="3"/>
        <v>--</v>
      </c>
      <c r="U10" s="273" t="str">
        <f t="shared" si="4"/>
        <v>--</v>
      </c>
      <c r="V10" s="274" t="str">
        <f t="shared" si="5"/>
        <v>--</v>
      </c>
      <c r="AB10" s="263" cm="1">
        <f t="array" ref="AB10">IFERROR(_xlfn.XLOOKUP($F10,V.Realloc!$K$107:$K$108,_xlfn.XLOOKUP($G10,V.Realloc!$L$106:$N$106,V.Realloc!$L$107:$N$108)),0)</f>
        <v>0</v>
      </c>
      <c r="AC10" s="264" cm="1">
        <f t="array" ref="AC10">IFERROR(_xlfn.XLOOKUP($F10,V.Realloc!$P$107:$P$108,_xlfn.XLOOKUP($G10,V.Realloc!$Q$106:$S$106,V.Realloc!$Q$107:$S$108)),0)</f>
        <v>0</v>
      </c>
      <c r="AD10" s="264" cm="1">
        <f t="array" ref="AD10">IFERROR(_xlfn.XLOOKUP($F10,V.Realloc!$U$107:$U$108,_xlfn.XLOOKUP($G10,V.Realloc!$V$106:$X$106,V.Realloc!$V$107:$X$108)),0)</f>
        <v>0</v>
      </c>
    </row>
    <row r="11" spans="2:30" x14ac:dyDescent="0.25">
      <c r="B11" s="1">
        <v>6</v>
      </c>
      <c r="C11" s="77" t="str">
        <f>Customer!C17</f>
        <v>CAT 6</v>
      </c>
      <c r="F11" s="267" t="str">
        <f>Customer!F17</f>
        <v>Urbain</v>
      </c>
      <c r="G11" s="267" t="str">
        <f>Customer!G17</f>
        <v>MV</v>
      </c>
      <c r="H11" s="250">
        <f>Customer!K17</f>
        <v>234.88919999999999</v>
      </c>
      <c r="I11" s="250">
        <f>Customer!L17</f>
        <v>53.627671232876708</v>
      </c>
      <c r="J11" s="250">
        <f>Customer!J17</f>
        <v>2569.1512266952855</v>
      </c>
      <c r="K11" s="210">
        <f t="shared" si="0"/>
        <v>0</v>
      </c>
      <c r="L11" s="210">
        <f t="shared" si="1"/>
        <v>0</v>
      </c>
      <c r="M11" s="210">
        <f t="shared" si="2"/>
        <v>0</v>
      </c>
      <c r="N11" s="210">
        <f t="shared" si="6"/>
        <v>0</v>
      </c>
      <c r="O11" s="210">
        <f>Customer!AD17</f>
        <v>123.19898436719997</v>
      </c>
      <c r="P11" s="210">
        <f>Customer!AE17</f>
        <v>0.84445565400002398</v>
      </c>
      <c r="Q11" s="210">
        <f>Customer!AF17</f>
        <v>0</v>
      </c>
      <c r="R11" s="268">
        <f t="shared" si="7"/>
        <v>124.0434400212</v>
      </c>
      <c r="S11" s="273" t="str">
        <f t="shared" si="8"/>
        <v>--</v>
      </c>
      <c r="T11" s="273" t="str">
        <f t="shared" si="3"/>
        <v>--</v>
      </c>
      <c r="U11" s="273" t="str">
        <f t="shared" si="4"/>
        <v>--</v>
      </c>
      <c r="V11" s="274" t="str">
        <f t="shared" si="5"/>
        <v>--</v>
      </c>
      <c r="AB11" s="263" cm="1">
        <f t="array" ref="AB11">IFERROR(_xlfn.XLOOKUP($F11,V.Realloc!$K$107:$K$108,_xlfn.XLOOKUP($G11,V.Realloc!$L$106:$N$106,V.Realloc!$L$107:$N$108)),0)</f>
        <v>0</v>
      </c>
      <c r="AC11" s="264" cm="1">
        <f t="array" ref="AC11">IFERROR(_xlfn.XLOOKUP($F11,V.Realloc!$P$107:$P$108,_xlfn.XLOOKUP($G11,V.Realloc!$Q$106:$S$106,V.Realloc!$Q$107:$S$108)),0)</f>
        <v>0</v>
      </c>
      <c r="AD11" s="264" cm="1">
        <f t="array" ref="AD11">IFERROR(_xlfn.XLOOKUP($F11,V.Realloc!$U$107:$U$108,_xlfn.XLOOKUP($G11,V.Realloc!$V$106:$X$106,V.Realloc!$V$107:$X$108)),0)</f>
        <v>0</v>
      </c>
    </row>
    <row r="12" spans="2:30" x14ac:dyDescent="0.25">
      <c r="B12" s="1">
        <v>7</v>
      </c>
      <c r="C12" s="77" t="str">
        <f>Customer!C18</f>
        <v>CAT 7</v>
      </c>
      <c r="F12" s="267" t="str">
        <f>Customer!F18</f>
        <v>Urbain</v>
      </c>
      <c r="G12" s="267" t="str">
        <f>Customer!G18</f>
        <v>MV</v>
      </c>
      <c r="H12" s="250">
        <f>Customer!K18</f>
        <v>9.072000000000001</v>
      </c>
      <c r="I12" s="250">
        <f>Customer!L18</f>
        <v>2.0712328767123291</v>
      </c>
      <c r="J12" s="250">
        <f>Customer!J18</f>
        <v>1529.5541068709911</v>
      </c>
      <c r="K12" s="210">
        <f t="shared" si="0"/>
        <v>0</v>
      </c>
      <c r="L12" s="210">
        <f t="shared" si="1"/>
        <v>0</v>
      </c>
      <c r="M12" s="210">
        <f t="shared" si="2"/>
        <v>0</v>
      </c>
      <c r="N12" s="210">
        <f t="shared" si="6"/>
        <v>0</v>
      </c>
      <c r="O12" s="210">
        <f>Customer!AD18</f>
        <v>3.7124106655999998</v>
      </c>
      <c r="P12" s="210">
        <f>Customer!AE18</f>
        <v>5.3798752000000276E-2</v>
      </c>
      <c r="Q12" s="210">
        <f>Customer!AF18</f>
        <v>0</v>
      </c>
      <c r="R12" s="268">
        <f t="shared" si="7"/>
        <v>3.7662094175999998</v>
      </c>
      <c r="S12" s="273" t="str">
        <f t="shared" si="8"/>
        <v>--</v>
      </c>
      <c r="T12" s="273" t="str">
        <f t="shared" si="3"/>
        <v>--</v>
      </c>
      <c r="U12" s="273" t="str">
        <f t="shared" si="4"/>
        <v>--</v>
      </c>
      <c r="V12" s="274" t="str">
        <f t="shared" si="5"/>
        <v>--</v>
      </c>
      <c r="AB12" s="263" cm="1">
        <f t="array" ref="AB12">IFERROR(_xlfn.XLOOKUP($F12,V.Realloc!$K$107:$K$108,_xlfn.XLOOKUP($G12,V.Realloc!$L$106:$N$106,V.Realloc!$L$107:$N$108)),0)</f>
        <v>0</v>
      </c>
      <c r="AC12" s="264" cm="1">
        <f t="array" ref="AC12">IFERROR(_xlfn.XLOOKUP($F12,V.Realloc!$P$107:$P$108,_xlfn.XLOOKUP($G12,V.Realloc!$Q$106:$S$106,V.Realloc!$Q$107:$S$108)),0)</f>
        <v>0</v>
      </c>
      <c r="AD12" s="264" cm="1">
        <f t="array" ref="AD12">IFERROR(_xlfn.XLOOKUP($F12,V.Realloc!$U$107:$U$108,_xlfn.XLOOKUP($G12,V.Realloc!$V$106:$X$106,V.Realloc!$V$107:$X$108)),0)</f>
        <v>0</v>
      </c>
    </row>
    <row r="13" spans="2:30" x14ac:dyDescent="0.25">
      <c r="B13" s="1">
        <v>8</v>
      </c>
      <c r="C13" s="77" t="str">
        <f>Customer!C19</f>
        <v>CAT 8</v>
      </c>
      <c r="F13" s="267" t="str">
        <f>Customer!F19</f>
        <v>Urbain</v>
      </c>
      <c r="G13" s="267" t="str">
        <f>Customer!G19</f>
        <v>MV</v>
      </c>
      <c r="H13" s="250">
        <f>Customer!K19</f>
        <v>236.57951007983462</v>
      </c>
      <c r="I13" s="250">
        <f>Customer!L19</f>
        <v>49.103260705652673</v>
      </c>
      <c r="J13" s="250">
        <f>Customer!J19</f>
        <v>128.88386951855642</v>
      </c>
      <c r="K13" s="210">
        <f t="shared" si="0"/>
        <v>0</v>
      </c>
      <c r="L13" s="210">
        <f t="shared" si="1"/>
        <v>0</v>
      </c>
      <c r="M13" s="210">
        <f t="shared" si="2"/>
        <v>0</v>
      </c>
      <c r="N13" s="210">
        <f t="shared" si="6"/>
        <v>0</v>
      </c>
      <c r="O13" s="210">
        <f>Customer!AD19</f>
        <v>68.413741435962521</v>
      </c>
      <c r="P13" s="210">
        <f>Customer!AE19</f>
        <v>3.7410230000000003E-2</v>
      </c>
      <c r="Q13" s="210">
        <f>Customer!AF19</f>
        <v>34.815405429999998</v>
      </c>
      <c r="R13" s="268">
        <f t="shared" si="7"/>
        <v>103.26655709596253</v>
      </c>
      <c r="S13" s="273" t="str">
        <f t="shared" si="8"/>
        <v>--</v>
      </c>
      <c r="T13" s="273" t="str">
        <f t="shared" si="3"/>
        <v>--</v>
      </c>
      <c r="U13" s="273" t="str">
        <f t="shared" si="4"/>
        <v>--</v>
      </c>
      <c r="V13" s="274" t="str">
        <f t="shared" si="5"/>
        <v>--</v>
      </c>
      <c r="AB13" s="263" cm="1">
        <f t="array" ref="AB13">IFERROR(_xlfn.XLOOKUP($F13,V.Realloc!$K$107:$K$108,_xlfn.XLOOKUP($G13,V.Realloc!$L$106:$N$106,V.Realloc!$L$107:$N$108)),0)</f>
        <v>0</v>
      </c>
      <c r="AC13" s="264" cm="1">
        <f t="array" ref="AC13">IFERROR(_xlfn.XLOOKUP($F13,V.Realloc!$P$107:$P$108,_xlfn.XLOOKUP($G13,V.Realloc!$Q$106:$S$106,V.Realloc!$Q$107:$S$108)),0)</f>
        <v>0</v>
      </c>
      <c r="AD13" s="264" cm="1">
        <f t="array" ref="AD13">IFERROR(_xlfn.XLOOKUP($F13,V.Realloc!$U$107:$U$108,_xlfn.XLOOKUP($G13,V.Realloc!$V$106:$X$106,V.Realloc!$V$107:$X$108)),0)</f>
        <v>0</v>
      </c>
    </row>
    <row r="14" spans="2:30" x14ac:dyDescent="0.25">
      <c r="B14" s="1">
        <v>9</v>
      </c>
      <c r="C14" s="77" t="str">
        <f>Customer!C20</f>
        <v>CAT 9</v>
      </c>
      <c r="F14" s="267" t="str">
        <f>Customer!F20</f>
        <v>Urbain</v>
      </c>
      <c r="G14" s="267" t="str">
        <f>Customer!G20</f>
        <v>HV</v>
      </c>
      <c r="H14" s="250">
        <f>Customer!K20</f>
        <v>183.89362770408619</v>
      </c>
      <c r="I14" s="250">
        <f>Customer!L20</f>
        <v>25.600516163281853</v>
      </c>
      <c r="J14" s="250">
        <f>Customer!J20</f>
        <v>1</v>
      </c>
      <c r="K14" s="210">
        <f t="shared" si="0"/>
        <v>0</v>
      </c>
      <c r="L14" s="210">
        <f t="shared" si="1"/>
        <v>0</v>
      </c>
      <c r="M14" s="210">
        <f t="shared" si="2"/>
        <v>0</v>
      </c>
      <c r="N14" s="210">
        <f t="shared" si="6"/>
        <v>0</v>
      </c>
      <c r="O14" s="210">
        <f>Customer!AD20</f>
        <v>35.140134370000006</v>
      </c>
      <c r="P14" s="210">
        <f>Customer!AE20</f>
        <v>3.2266E-4</v>
      </c>
      <c r="Q14" s="210">
        <f>Customer!AF20</f>
        <v>18.255563679999998</v>
      </c>
      <c r="R14" s="268">
        <f t="shared" si="7"/>
        <v>53.396020710000002</v>
      </c>
      <c r="S14" s="273" t="str">
        <f t="shared" si="8"/>
        <v>--</v>
      </c>
      <c r="T14" s="273" t="str">
        <f t="shared" si="3"/>
        <v>--</v>
      </c>
      <c r="U14" s="273" t="str">
        <f t="shared" si="4"/>
        <v>--</v>
      </c>
      <c r="V14" s="274" t="str">
        <f t="shared" si="5"/>
        <v>--</v>
      </c>
      <c r="AB14" s="263" cm="1">
        <f t="array" ref="AB14">IFERROR(_xlfn.XLOOKUP($F14,V.Realloc!$K$107:$K$108,_xlfn.XLOOKUP($G14,V.Realloc!$L$106:$N$106,V.Realloc!$L$107:$N$108)),0)</f>
        <v>0</v>
      </c>
      <c r="AC14" s="264" cm="1">
        <f t="array" ref="AC14">IFERROR(_xlfn.XLOOKUP($F14,V.Realloc!$P$107:$P$108,_xlfn.XLOOKUP($G14,V.Realloc!$Q$106:$S$106,V.Realloc!$Q$107:$S$108)),0)</f>
        <v>0</v>
      </c>
      <c r="AD14" s="264" cm="1">
        <f t="array" ref="AD14">IFERROR(_xlfn.XLOOKUP($F14,V.Realloc!$U$107:$U$108,_xlfn.XLOOKUP($G14,V.Realloc!$V$106:$X$106,V.Realloc!$V$107:$X$108)),0)</f>
        <v>0</v>
      </c>
    </row>
    <row r="15" spans="2:30" x14ac:dyDescent="0.25">
      <c r="B15" s="1">
        <v>10</v>
      </c>
      <c r="C15" s="77" t="str">
        <f>Customer!C21</f>
        <v>CAT 10</v>
      </c>
      <c r="F15" s="267" t="str">
        <f>Customer!F21</f>
        <v>Rural</v>
      </c>
      <c r="G15" s="267" t="str">
        <f>Customer!G21</f>
        <v>HV</v>
      </c>
      <c r="H15" s="250">
        <f>Customer!K21</f>
        <v>10.989021632689397</v>
      </c>
      <c r="I15" s="250">
        <f>Customer!L21</f>
        <v>1.5298225905848923</v>
      </c>
      <c r="J15" s="250">
        <f>Customer!J21</f>
        <v>1</v>
      </c>
      <c r="K15" s="210">
        <f t="shared" si="0"/>
        <v>0</v>
      </c>
      <c r="L15" s="210">
        <f t="shared" si="1"/>
        <v>0</v>
      </c>
      <c r="M15" s="210">
        <f t="shared" si="2"/>
        <v>0</v>
      </c>
      <c r="N15" s="210">
        <f t="shared" si="6"/>
        <v>0</v>
      </c>
      <c r="O15" s="210">
        <f>Customer!AD21</f>
        <v>2.1130684099999999</v>
      </c>
      <c r="P15" s="210">
        <f>Customer!AE21</f>
        <v>3.2266E-4</v>
      </c>
      <c r="Q15" s="210">
        <f>Customer!AF21</f>
        <v>0.39679759999999997</v>
      </c>
      <c r="R15" s="268">
        <f t="shared" si="7"/>
        <v>2.5101886699999998</v>
      </c>
      <c r="S15" s="273" t="str">
        <f t="shared" si="8"/>
        <v>--</v>
      </c>
      <c r="T15" s="273" t="str">
        <f t="shared" si="3"/>
        <v>--</v>
      </c>
      <c r="U15" s="273" t="str">
        <f t="shared" si="4"/>
        <v>--</v>
      </c>
      <c r="V15" s="274" t="str">
        <f t="shared" si="5"/>
        <v>--</v>
      </c>
      <c r="AB15" s="263" cm="1">
        <f t="array" ref="AB15">IFERROR(_xlfn.XLOOKUP($F15,V.Realloc!$K$107:$K$108,_xlfn.XLOOKUP($G15,V.Realloc!$L$106:$N$106,V.Realloc!$L$107:$N$108)),0)</f>
        <v>0</v>
      </c>
      <c r="AC15" s="264" cm="1">
        <f t="array" ref="AC15">IFERROR(_xlfn.XLOOKUP($F15,V.Realloc!$P$107:$P$108,_xlfn.XLOOKUP($G15,V.Realloc!$Q$106:$S$106,V.Realloc!$Q$107:$S$108)),0)</f>
        <v>0</v>
      </c>
      <c r="AD15" s="264" cm="1">
        <f t="array" ref="AD15">IFERROR(_xlfn.XLOOKUP($F15,V.Realloc!$U$107:$U$108,_xlfn.XLOOKUP($G15,V.Realloc!$V$106:$X$106,V.Realloc!$V$107:$X$108)),0)</f>
        <v>0</v>
      </c>
    </row>
    <row r="16" spans="2:30" x14ac:dyDescent="0.25">
      <c r="B16" s="1">
        <v>11</v>
      </c>
      <c r="C16" s="77" t="str">
        <f>Customer!C22</f>
        <v>CAT 11</v>
      </c>
      <c r="F16" s="267" t="str">
        <f>Customer!F22</f>
        <v>Urbain</v>
      </c>
      <c r="G16" s="267" t="str">
        <f>Customer!G22</f>
        <v>HV</v>
      </c>
      <c r="H16" s="250">
        <f>Customer!K22</f>
        <v>447.04019941244547</v>
      </c>
      <c r="I16" s="250">
        <f>Customer!L22</f>
        <v>62.234129554021258</v>
      </c>
      <c r="J16" s="250">
        <f>Customer!J22</f>
        <v>1</v>
      </c>
      <c r="K16" s="210">
        <f t="shared" si="0"/>
        <v>0</v>
      </c>
      <c r="L16" s="210">
        <f t="shared" si="1"/>
        <v>0</v>
      </c>
      <c r="M16" s="210">
        <f t="shared" si="2"/>
        <v>0</v>
      </c>
      <c r="N16" s="210">
        <f t="shared" si="6"/>
        <v>0</v>
      </c>
      <c r="O16" s="210">
        <f>Customer!AD22</f>
        <v>85.962127699999996</v>
      </c>
      <c r="P16" s="210">
        <f>Customer!AE22</f>
        <v>3.2266E-4</v>
      </c>
      <c r="Q16" s="210">
        <f>Customer!AF22</f>
        <v>34.794530000000002</v>
      </c>
      <c r="R16" s="268">
        <f t="shared" si="7"/>
        <v>120.75698036</v>
      </c>
      <c r="S16" s="273" t="str">
        <f t="shared" si="8"/>
        <v>--</v>
      </c>
      <c r="T16" s="273" t="str">
        <f t="shared" si="3"/>
        <v>--</v>
      </c>
      <c r="U16" s="273" t="str">
        <f t="shared" si="4"/>
        <v>--</v>
      </c>
      <c r="V16" s="274" t="str">
        <f t="shared" si="5"/>
        <v>--</v>
      </c>
      <c r="AB16" s="263" cm="1">
        <f t="array" ref="AB16">IFERROR(_xlfn.XLOOKUP($F16,V.Realloc!$K$107:$K$108,_xlfn.XLOOKUP($G16,V.Realloc!$L$106:$N$106,V.Realloc!$L$107:$N$108)),0)</f>
        <v>0</v>
      </c>
      <c r="AC16" s="264" cm="1">
        <f t="array" ref="AC16">IFERROR(_xlfn.XLOOKUP($F16,V.Realloc!$P$107:$P$108,_xlfn.XLOOKUP($G16,V.Realloc!$Q$106:$S$106,V.Realloc!$Q$107:$S$108)),0)</f>
        <v>0</v>
      </c>
      <c r="AD16" s="264" cm="1">
        <f t="array" ref="AD16">IFERROR(_xlfn.XLOOKUP($F16,V.Realloc!$U$107:$U$108,_xlfn.XLOOKUP($G16,V.Realloc!$V$106:$X$106,V.Realloc!$V$107:$X$108)),0)</f>
        <v>0</v>
      </c>
    </row>
    <row r="17" spans="2:30" x14ac:dyDescent="0.25">
      <c r="B17" s="1">
        <v>12</v>
      </c>
      <c r="C17" s="77" t="str">
        <f>Customer!C23</f>
        <v>CAT 12</v>
      </c>
      <c r="F17" s="267" t="str">
        <f>Customer!F23</f>
        <v>Rural</v>
      </c>
      <c r="G17" s="267" t="str">
        <f>Customer!G23</f>
        <v>HV</v>
      </c>
      <c r="H17" s="250">
        <f>Customer!K23</f>
        <v>18.248375322709872</v>
      </c>
      <c r="I17" s="250">
        <f>Customer!L23</f>
        <v>2.540424229133238</v>
      </c>
      <c r="J17" s="250">
        <f>Customer!J23</f>
        <v>1</v>
      </c>
      <c r="K17" s="210">
        <f t="shared" si="0"/>
        <v>0</v>
      </c>
      <c r="L17" s="210">
        <f t="shared" si="1"/>
        <v>0</v>
      </c>
      <c r="M17" s="210">
        <f t="shared" si="2"/>
        <v>0</v>
      </c>
      <c r="N17" s="210">
        <f t="shared" si="6"/>
        <v>0</v>
      </c>
      <c r="O17" s="210">
        <f>Customer!AD23</f>
        <v>4.9610360799999995</v>
      </c>
      <c r="P17" s="210">
        <f>Customer!AE23</f>
        <v>3.1443999999999998E-4</v>
      </c>
      <c r="Q17" s="210">
        <f>Customer!AF23</f>
        <v>0</v>
      </c>
      <c r="R17" s="268">
        <f t="shared" si="7"/>
        <v>4.9613505199999999</v>
      </c>
      <c r="S17" s="273" t="str">
        <f t="shared" si="8"/>
        <v>--</v>
      </c>
      <c r="T17" s="273" t="str">
        <f t="shared" si="3"/>
        <v>--</v>
      </c>
      <c r="U17" s="273" t="str">
        <f t="shared" si="4"/>
        <v>--</v>
      </c>
      <c r="V17" s="274" t="str">
        <f t="shared" si="5"/>
        <v>--</v>
      </c>
      <c r="AB17" s="263" cm="1">
        <f t="array" ref="AB17">IFERROR(_xlfn.XLOOKUP($F17,V.Realloc!$K$107:$K$108,_xlfn.XLOOKUP($G17,V.Realloc!$L$106:$N$106,V.Realloc!$L$107:$N$108)),0)</f>
        <v>0</v>
      </c>
      <c r="AC17" s="264" cm="1">
        <f t="array" ref="AC17">IFERROR(_xlfn.XLOOKUP($F17,V.Realloc!$P$107:$P$108,_xlfn.XLOOKUP($G17,V.Realloc!$Q$106:$S$106,V.Realloc!$Q$107:$S$108)),0)</f>
        <v>0</v>
      </c>
      <c r="AD17" s="264" cm="1">
        <f t="array" ref="AD17">IFERROR(_xlfn.XLOOKUP($F17,V.Realloc!$U$107:$U$108,_xlfn.XLOOKUP($G17,V.Realloc!$V$106:$X$106,V.Realloc!$V$107:$X$108)),0)</f>
        <v>0</v>
      </c>
    </row>
    <row r="18" spans="2:30" x14ac:dyDescent="0.25">
      <c r="B18" s="1">
        <v>13</v>
      </c>
      <c r="C18" s="77" t="str">
        <f>Customer!C24</f>
        <v>CAT 13</v>
      </c>
      <c r="F18" s="267" t="str">
        <f>Customer!F24</f>
        <v>Urbain</v>
      </c>
      <c r="G18" s="267" t="str">
        <f>Customer!G24</f>
        <v>MV</v>
      </c>
      <c r="H18" s="250">
        <f>Customer!K24</f>
        <v>39.896447965815007</v>
      </c>
      <c r="I18" s="250">
        <f>Customer!L24</f>
        <v>5.5541329721871886</v>
      </c>
      <c r="J18" s="250">
        <f>Customer!J24</f>
        <v>1</v>
      </c>
      <c r="K18" s="210">
        <f t="shared" si="0"/>
        <v>0</v>
      </c>
      <c r="L18" s="210">
        <f t="shared" si="1"/>
        <v>0</v>
      </c>
      <c r="M18" s="210">
        <f t="shared" si="2"/>
        <v>0</v>
      </c>
      <c r="N18" s="210">
        <f t="shared" si="6"/>
        <v>0</v>
      </c>
      <c r="O18" s="210">
        <f>Customer!AD24</f>
        <v>7.6681223999999997</v>
      </c>
      <c r="P18" s="210">
        <f>Customer!AE24</f>
        <v>3.2414999999999999E-4</v>
      </c>
      <c r="Q18" s="210">
        <f>Customer!AF24</f>
        <v>3.2576339999999999</v>
      </c>
      <c r="R18" s="268">
        <f t="shared" si="7"/>
        <v>10.92608055</v>
      </c>
      <c r="S18" s="273" t="str">
        <f t="shared" si="8"/>
        <v>--</v>
      </c>
      <c r="T18" s="273" t="str">
        <f t="shared" si="3"/>
        <v>--</v>
      </c>
      <c r="U18" s="273" t="str">
        <f t="shared" si="4"/>
        <v>--</v>
      </c>
      <c r="V18" s="274" t="str">
        <f t="shared" si="5"/>
        <v>--</v>
      </c>
      <c r="AB18" s="263" cm="1">
        <f t="array" ref="AB18">IFERROR(_xlfn.XLOOKUP($F18,V.Realloc!$K$107:$K$108,_xlfn.XLOOKUP($G18,V.Realloc!$L$106:$N$106,V.Realloc!$L$107:$N$108)),0)</f>
        <v>0</v>
      </c>
      <c r="AC18" s="264" cm="1">
        <f t="array" ref="AC18">IFERROR(_xlfn.XLOOKUP($F18,V.Realloc!$P$107:$P$108,_xlfn.XLOOKUP($G18,V.Realloc!$Q$106:$S$106,V.Realloc!$Q$107:$S$108)),0)</f>
        <v>0</v>
      </c>
      <c r="AD18" s="264" cm="1">
        <f t="array" ref="AD18">IFERROR(_xlfn.XLOOKUP($F18,V.Realloc!$U$107:$U$108,_xlfn.XLOOKUP($G18,V.Realloc!$V$106:$X$106,V.Realloc!$V$107:$X$108)),0)</f>
        <v>0</v>
      </c>
    </row>
    <row r="19" spans="2:30" x14ac:dyDescent="0.25">
      <c r="B19" s="1">
        <v>14</v>
      </c>
      <c r="C19" s="77" t="str">
        <f>Customer!C25</f>
        <v>CAT 14</v>
      </c>
      <c r="F19" s="267" t="str">
        <f>Customer!F25</f>
        <v>Rural</v>
      </c>
      <c r="G19" s="267" t="str">
        <f>Customer!G25</f>
        <v>HV</v>
      </c>
      <c r="H19" s="250">
        <f>Customer!K25</f>
        <v>152.13645508768806</v>
      </c>
      <c r="I19" s="250">
        <f>Customer!L25</f>
        <v>21.1794819979519</v>
      </c>
      <c r="J19" s="250">
        <f>Customer!J25</f>
        <v>1</v>
      </c>
      <c r="K19" s="210">
        <f t="shared" si="0"/>
        <v>0</v>
      </c>
      <c r="L19" s="210">
        <f t="shared" si="1"/>
        <v>0</v>
      </c>
      <c r="M19" s="210">
        <f t="shared" si="2"/>
        <v>0</v>
      </c>
      <c r="N19" s="210">
        <f t="shared" si="6"/>
        <v>0</v>
      </c>
      <c r="O19" s="210">
        <f>Customer!AD25</f>
        <v>29.210681530000002</v>
      </c>
      <c r="P19" s="210">
        <f>Customer!AE25</f>
        <v>3.2372999999999999E-4</v>
      </c>
      <c r="Q19" s="210">
        <f>Customer!AF25</f>
        <v>13.45935791</v>
      </c>
      <c r="R19" s="268">
        <f t="shared" si="7"/>
        <v>42.670363170000002</v>
      </c>
      <c r="S19" s="273" t="str">
        <f t="shared" si="8"/>
        <v>--</v>
      </c>
      <c r="T19" s="273" t="str">
        <f t="shared" si="3"/>
        <v>--</v>
      </c>
      <c r="U19" s="273" t="str">
        <f t="shared" si="4"/>
        <v>--</v>
      </c>
      <c r="V19" s="274" t="str">
        <f t="shared" si="5"/>
        <v>--</v>
      </c>
      <c r="AB19" s="263" cm="1">
        <f t="array" ref="AB19">IFERROR(_xlfn.XLOOKUP($F19,V.Realloc!$K$107:$K$108,_xlfn.XLOOKUP($G19,V.Realloc!$L$106:$N$106,V.Realloc!$L$107:$N$108)),0)</f>
        <v>0</v>
      </c>
      <c r="AC19" s="264" cm="1">
        <f t="array" ref="AC19">IFERROR(_xlfn.XLOOKUP($F19,V.Realloc!$P$107:$P$108,_xlfn.XLOOKUP($G19,V.Realloc!$Q$106:$S$106,V.Realloc!$Q$107:$S$108)),0)</f>
        <v>0</v>
      </c>
      <c r="AD19" s="264" cm="1">
        <f t="array" ref="AD19">IFERROR(_xlfn.XLOOKUP($F19,V.Realloc!$U$107:$U$108,_xlfn.XLOOKUP($G19,V.Realloc!$V$106:$X$106,V.Realloc!$V$107:$X$108)),0)</f>
        <v>0</v>
      </c>
    </row>
    <row r="20" spans="2:30" x14ac:dyDescent="0.25">
      <c r="B20" s="1">
        <v>15</v>
      </c>
      <c r="C20" s="77" t="str">
        <f>Customer!C26</f>
        <v>CAT 15</v>
      </c>
      <c r="F20" s="267" t="str">
        <f>Customer!F26</f>
        <v>Urbain</v>
      </c>
      <c r="G20" s="267" t="str">
        <f>Customer!G26</f>
        <v>HV</v>
      </c>
      <c r="H20" s="250">
        <f>Customer!K26</f>
        <v>270.99587287456603</v>
      </c>
      <c r="I20" s="250">
        <f>Customer!L26</f>
        <v>37.72634381258576</v>
      </c>
      <c r="J20" s="250">
        <f>Customer!J26</f>
        <v>1</v>
      </c>
      <c r="K20" s="210">
        <f t="shared" si="0"/>
        <v>0</v>
      </c>
      <c r="L20" s="210">
        <f t="shared" si="1"/>
        <v>0</v>
      </c>
      <c r="M20" s="210">
        <f t="shared" si="2"/>
        <v>0</v>
      </c>
      <c r="N20" s="210">
        <f t="shared" si="6"/>
        <v>0</v>
      </c>
      <c r="O20" s="210">
        <f>Customer!AD26</f>
        <v>51.759134619999998</v>
      </c>
      <c r="P20" s="210">
        <f>Customer!AE26</f>
        <v>3.2245E-4</v>
      </c>
      <c r="Q20" s="210">
        <f>Customer!AF26</f>
        <v>25.606525140000002</v>
      </c>
      <c r="R20" s="268">
        <f t="shared" si="7"/>
        <v>77.365982209999999</v>
      </c>
      <c r="S20" s="273" t="str">
        <f t="shared" si="8"/>
        <v>--</v>
      </c>
      <c r="T20" s="273" t="str">
        <f t="shared" si="3"/>
        <v>--</v>
      </c>
      <c r="U20" s="273" t="str">
        <f t="shared" si="4"/>
        <v>--</v>
      </c>
      <c r="V20" s="274" t="str">
        <f t="shared" si="5"/>
        <v>--</v>
      </c>
      <c r="AB20" s="263" cm="1">
        <f t="array" ref="AB20">IFERROR(_xlfn.XLOOKUP($F20,V.Realloc!$K$107:$K$108,_xlfn.XLOOKUP($G20,V.Realloc!$L$106:$N$106,V.Realloc!$L$107:$N$108)),0)</f>
        <v>0</v>
      </c>
      <c r="AC20" s="264" cm="1">
        <f t="array" ref="AC20">IFERROR(_xlfn.XLOOKUP($F20,V.Realloc!$P$107:$P$108,_xlfn.XLOOKUP($G20,V.Realloc!$Q$106:$S$106,V.Realloc!$Q$107:$S$108)),0)</f>
        <v>0</v>
      </c>
      <c r="AD20" s="264" cm="1">
        <f t="array" ref="AD20">IFERROR(_xlfn.XLOOKUP($F20,V.Realloc!$U$107:$U$108,_xlfn.XLOOKUP($G20,V.Realloc!$V$106:$X$106,V.Realloc!$V$107:$X$108)),0)</f>
        <v>0</v>
      </c>
    </row>
    <row r="21" spans="2:30" x14ac:dyDescent="0.25">
      <c r="B21" s="1">
        <v>16</v>
      </c>
      <c r="C21" s="77" t="str">
        <f>Customer!C27</f>
        <v>CAT 16</v>
      </c>
      <c r="F21" s="267">
        <f>Customer!F27</f>
        <v>0</v>
      </c>
      <c r="G21" s="267">
        <f>Customer!G27</f>
        <v>0</v>
      </c>
      <c r="H21" s="250">
        <f>Customer!K27</f>
        <v>0</v>
      </c>
      <c r="I21" s="250">
        <f>Customer!L27</f>
        <v>0</v>
      </c>
      <c r="J21" s="250">
        <f>Customer!J27</f>
        <v>0</v>
      </c>
      <c r="K21" s="210">
        <f t="shared" si="0"/>
        <v>0</v>
      </c>
      <c r="L21" s="210">
        <f t="shared" si="1"/>
        <v>0</v>
      </c>
      <c r="M21" s="210">
        <f t="shared" si="2"/>
        <v>0</v>
      </c>
      <c r="N21" s="210">
        <f t="shared" si="6"/>
        <v>0</v>
      </c>
      <c r="O21" s="210">
        <f>Customer!AD27</f>
        <v>0</v>
      </c>
      <c r="P21" s="210">
        <f>Customer!AE27</f>
        <v>0</v>
      </c>
      <c r="Q21" s="210">
        <f>Customer!AF27</f>
        <v>0</v>
      </c>
      <c r="R21" s="268">
        <f t="shared" si="7"/>
        <v>0</v>
      </c>
      <c r="S21" s="273" t="str">
        <f t="shared" si="8"/>
        <v>--</v>
      </c>
      <c r="T21" s="273" t="str">
        <f t="shared" si="3"/>
        <v>--</v>
      </c>
      <c r="U21" s="273" t="str">
        <f t="shared" si="4"/>
        <v>--</v>
      </c>
      <c r="V21" s="274" t="str">
        <f t="shared" si="5"/>
        <v>--</v>
      </c>
      <c r="AB21" s="263" cm="1">
        <f t="array" ref="AB21">IFERROR(_xlfn.XLOOKUP($F21,V.Realloc!$K$107:$K$108,_xlfn.XLOOKUP($G21,V.Realloc!$L$106:$N$106,V.Realloc!$L$107:$N$108)),0)</f>
        <v>0</v>
      </c>
      <c r="AC21" s="264" cm="1">
        <f t="array" ref="AC21">IFERROR(_xlfn.XLOOKUP($F21,V.Realloc!$P$107:$P$108,_xlfn.XLOOKUP($G21,V.Realloc!$Q$106:$S$106,V.Realloc!$Q$107:$S$108)),0)</f>
        <v>0</v>
      </c>
      <c r="AD21" s="264" cm="1">
        <f t="array" ref="AD21">IFERROR(_xlfn.XLOOKUP($F21,V.Realloc!$U$107:$U$108,_xlfn.XLOOKUP($G21,V.Realloc!$V$106:$X$106,V.Realloc!$V$107:$X$108)),0)</f>
        <v>0</v>
      </c>
    </row>
    <row r="22" spans="2:30" x14ac:dyDescent="0.25">
      <c r="B22" s="1">
        <v>17</v>
      </c>
      <c r="C22" s="77" t="str">
        <f>Customer!C28</f>
        <v>CAT 17</v>
      </c>
      <c r="F22" s="267">
        <f>Customer!F28</f>
        <v>0</v>
      </c>
      <c r="G22" s="267">
        <f>Customer!G28</f>
        <v>0</v>
      </c>
      <c r="H22" s="250">
        <f>Customer!K28</f>
        <v>0</v>
      </c>
      <c r="I22" s="250">
        <f>Customer!L28</f>
        <v>0</v>
      </c>
      <c r="J22" s="250">
        <f>Customer!J28</f>
        <v>0</v>
      </c>
      <c r="K22" s="210">
        <f t="shared" si="0"/>
        <v>0</v>
      </c>
      <c r="L22" s="210">
        <f t="shared" si="1"/>
        <v>0</v>
      </c>
      <c r="M22" s="210">
        <f t="shared" si="2"/>
        <v>0</v>
      </c>
      <c r="N22" s="210">
        <f t="shared" si="6"/>
        <v>0</v>
      </c>
      <c r="O22" s="210">
        <f>Customer!AD28</f>
        <v>0</v>
      </c>
      <c r="P22" s="210">
        <f>Customer!AE28</f>
        <v>0</v>
      </c>
      <c r="Q22" s="210">
        <f>Customer!AF28</f>
        <v>0</v>
      </c>
      <c r="R22" s="268">
        <f t="shared" si="7"/>
        <v>0</v>
      </c>
      <c r="S22" s="273" t="str">
        <f t="shared" si="8"/>
        <v>--</v>
      </c>
      <c r="T22" s="273" t="str">
        <f t="shared" si="3"/>
        <v>--</v>
      </c>
      <c r="U22" s="273" t="str">
        <f t="shared" si="4"/>
        <v>--</v>
      </c>
      <c r="V22" s="274" t="str">
        <f t="shared" si="5"/>
        <v>--</v>
      </c>
      <c r="AB22" s="263" cm="1">
        <f t="array" ref="AB22">IFERROR(_xlfn.XLOOKUP($F22,V.Realloc!$K$107:$K$108,_xlfn.XLOOKUP($G22,V.Realloc!$L$106:$N$106,V.Realloc!$L$107:$N$108)),0)</f>
        <v>0</v>
      </c>
      <c r="AC22" s="264" cm="1">
        <f t="array" ref="AC22">IFERROR(_xlfn.XLOOKUP($F22,V.Realloc!$P$107:$P$108,_xlfn.XLOOKUP($G22,V.Realloc!$Q$106:$S$106,V.Realloc!$Q$107:$S$108)),0)</f>
        <v>0</v>
      </c>
      <c r="AD22" s="264" cm="1">
        <f t="array" ref="AD22">IFERROR(_xlfn.XLOOKUP($F22,V.Realloc!$U$107:$U$108,_xlfn.XLOOKUP($G22,V.Realloc!$V$106:$X$106,V.Realloc!$V$107:$X$108)),0)</f>
        <v>0</v>
      </c>
    </row>
    <row r="23" spans="2:30" x14ac:dyDescent="0.25">
      <c r="B23" s="1">
        <v>18</v>
      </c>
      <c r="C23" s="77" t="str">
        <f>Customer!C29</f>
        <v>CAT 18</v>
      </c>
      <c r="F23" s="267">
        <f>Customer!F29</f>
        <v>0</v>
      </c>
      <c r="G23" s="267">
        <f>Customer!G29</f>
        <v>0</v>
      </c>
      <c r="H23" s="250">
        <f>Customer!K29</f>
        <v>0</v>
      </c>
      <c r="I23" s="250">
        <f>Customer!L29</f>
        <v>0</v>
      </c>
      <c r="J23" s="250">
        <f>Customer!J29</f>
        <v>0</v>
      </c>
      <c r="K23" s="210">
        <f t="shared" si="0"/>
        <v>0</v>
      </c>
      <c r="L23" s="210">
        <f t="shared" si="1"/>
        <v>0</v>
      </c>
      <c r="M23" s="210">
        <f t="shared" si="2"/>
        <v>0</v>
      </c>
      <c r="N23" s="210">
        <f t="shared" si="6"/>
        <v>0</v>
      </c>
      <c r="O23" s="210">
        <f>Customer!AD29</f>
        <v>0</v>
      </c>
      <c r="P23" s="210">
        <f>Customer!AE29</f>
        <v>0</v>
      </c>
      <c r="Q23" s="210">
        <f>Customer!AF29</f>
        <v>0</v>
      </c>
      <c r="R23" s="268">
        <f t="shared" si="7"/>
        <v>0</v>
      </c>
      <c r="S23" s="273" t="str">
        <f t="shared" si="8"/>
        <v>--</v>
      </c>
      <c r="T23" s="273" t="str">
        <f t="shared" si="3"/>
        <v>--</v>
      </c>
      <c r="U23" s="273" t="str">
        <f t="shared" si="4"/>
        <v>--</v>
      </c>
      <c r="V23" s="274" t="str">
        <f t="shared" si="5"/>
        <v>--</v>
      </c>
      <c r="AB23" s="263" cm="1">
        <f t="array" ref="AB23">IFERROR(_xlfn.XLOOKUP($F23,V.Realloc!$K$107:$K$108,_xlfn.XLOOKUP($G23,V.Realloc!$L$106:$N$106,V.Realloc!$L$107:$N$108)),0)</f>
        <v>0</v>
      </c>
      <c r="AC23" s="264" cm="1">
        <f t="array" ref="AC23">IFERROR(_xlfn.XLOOKUP($F23,V.Realloc!$P$107:$P$108,_xlfn.XLOOKUP($G23,V.Realloc!$Q$106:$S$106,V.Realloc!$Q$107:$S$108)),0)</f>
        <v>0</v>
      </c>
      <c r="AD23" s="264" cm="1">
        <f t="array" ref="AD23">IFERROR(_xlfn.XLOOKUP($F23,V.Realloc!$U$107:$U$108,_xlfn.XLOOKUP($G23,V.Realloc!$V$106:$X$106,V.Realloc!$V$107:$X$108)),0)</f>
        <v>0</v>
      </c>
    </row>
    <row r="24" spans="2:30" x14ac:dyDescent="0.25">
      <c r="B24" s="1">
        <v>19</v>
      </c>
      <c r="C24" s="77" t="str">
        <f>Customer!C30</f>
        <v>CAT 19</v>
      </c>
      <c r="F24" s="267">
        <f>Customer!F30</f>
        <v>0</v>
      </c>
      <c r="G24" s="267">
        <f>Customer!G30</f>
        <v>0</v>
      </c>
      <c r="H24" s="250">
        <f>Customer!K30</f>
        <v>0</v>
      </c>
      <c r="I24" s="250">
        <f>Customer!L30</f>
        <v>0</v>
      </c>
      <c r="J24" s="250">
        <f>Customer!J30</f>
        <v>0</v>
      </c>
      <c r="K24" s="210">
        <f t="shared" si="0"/>
        <v>0</v>
      </c>
      <c r="L24" s="210">
        <f t="shared" si="1"/>
        <v>0</v>
      </c>
      <c r="M24" s="210">
        <f t="shared" si="2"/>
        <v>0</v>
      </c>
      <c r="N24" s="210">
        <f t="shared" si="6"/>
        <v>0</v>
      </c>
      <c r="O24" s="210">
        <f>Customer!AD30</f>
        <v>0</v>
      </c>
      <c r="P24" s="210">
        <f>Customer!AE30</f>
        <v>0</v>
      </c>
      <c r="Q24" s="210">
        <f>Customer!AF30</f>
        <v>0</v>
      </c>
      <c r="R24" s="268">
        <f t="shared" si="7"/>
        <v>0</v>
      </c>
      <c r="S24" s="273" t="str">
        <f t="shared" si="8"/>
        <v>--</v>
      </c>
      <c r="T24" s="273" t="str">
        <f t="shared" si="3"/>
        <v>--</v>
      </c>
      <c r="U24" s="273" t="str">
        <f t="shared" si="4"/>
        <v>--</v>
      </c>
      <c r="V24" s="274" t="str">
        <f t="shared" si="5"/>
        <v>--</v>
      </c>
      <c r="AB24" s="263" cm="1">
        <f t="array" ref="AB24">IFERROR(_xlfn.XLOOKUP($F24,V.Realloc!$K$107:$K$108,_xlfn.XLOOKUP($G24,V.Realloc!$L$106:$N$106,V.Realloc!$L$107:$N$108)),0)</f>
        <v>0</v>
      </c>
      <c r="AC24" s="264" cm="1">
        <f t="array" ref="AC24">IFERROR(_xlfn.XLOOKUP($F24,V.Realloc!$P$107:$P$108,_xlfn.XLOOKUP($G24,V.Realloc!$Q$106:$S$106,V.Realloc!$Q$107:$S$108)),0)</f>
        <v>0</v>
      </c>
      <c r="AD24" s="264" cm="1">
        <f t="array" ref="AD24">IFERROR(_xlfn.XLOOKUP($F24,V.Realloc!$U$107:$U$108,_xlfn.XLOOKUP($G24,V.Realloc!$V$106:$X$106,V.Realloc!$V$107:$X$108)),0)</f>
        <v>0</v>
      </c>
    </row>
    <row r="25" spans="2:30" x14ac:dyDescent="0.25">
      <c r="B25" s="1">
        <v>20</v>
      </c>
      <c r="C25" s="77" t="str">
        <f>Customer!C31</f>
        <v>CAT 20</v>
      </c>
      <c r="F25" s="267">
        <f>Customer!F31</f>
        <v>0</v>
      </c>
      <c r="G25" s="267">
        <f>Customer!G31</f>
        <v>0</v>
      </c>
      <c r="H25" s="250">
        <f>Customer!K31</f>
        <v>0</v>
      </c>
      <c r="I25" s="250">
        <f>Customer!L31</f>
        <v>0</v>
      </c>
      <c r="J25" s="250">
        <f>Customer!J31</f>
        <v>0</v>
      </c>
      <c r="K25" s="210">
        <f t="shared" si="0"/>
        <v>0</v>
      </c>
      <c r="L25" s="210">
        <f t="shared" si="1"/>
        <v>0</v>
      </c>
      <c r="M25" s="210">
        <f t="shared" si="2"/>
        <v>0</v>
      </c>
      <c r="N25" s="210">
        <f t="shared" si="6"/>
        <v>0</v>
      </c>
      <c r="O25" s="210">
        <f>Customer!AD31</f>
        <v>0</v>
      </c>
      <c r="P25" s="210">
        <f>Customer!AE31</f>
        <v>0</v>
      </c>
      <c r="Q25" s="210">
        <f>Customer!AF31</f>
        <v>0</v>
      </c>
      <c r="R25" s="268">
        <f t="shared" si="7"/>
        <v>0</v>
      </c>
      <c r="S25" s="273" t="str">
        <f t="shared" si="8"/>
        <v>--</v>
      </c>
      <c r="T25" s="273" t="str">
        <f t="shared" si="3"/>
        <v>--</v>
      </c>
      <c r="U25" s="273" t="str">
        <f t="shared" si="4"/>
        <v>--</v>
      </c>
      <c r="V25" s="274" t="str">
        <f t="shared" si="5"/>
        <v>--</v>
      </c>
      <c r="AB25" s="263" cm="1">
        <f t="array" ref="AB25">IFERROR(_xlfn.XLOOKUP($F25,V.Realloc!$K$107:$K$108,_xlfn.XLOOKUP($G25,V.Realloc!$L$106:$N$106,V.Realloc!$L$107:$N$108)),0)</f>
        <v>0</v>
      </c>
      <c r="AC25" s="264" cm="1">
        <f t="array" ref="AC25">IFERROR(_xlfn.XLOOKUP($F25,V.Realloc!$P$107:$P$108,_xlfn.XLOOKUP($G25,V.Realloc!$Q$106:$S$106,V.Realloc!$Q$107:$S$108)),0)</f>
        <v>0</v>
      </c>
      <c r="AD25" s="264" cm="1">
        <f t="array" ref="AD25">IFERROR(_xlfn.XLOOKUP($F25,V.Realloc!$U$107:$U$108,_xlfn.XLOOKUP($G25,V.Realloc!$V$106:$X$106,V.Realloc!$V$107:$X$108)),0)</f>
        <v>0</v>
      </c>
    </row>
    <row r="26" spans="2:30" x14ac:dyDescent="0.25">
      <c r="B26" s="1">
        <v>21</v>
      </c>
      <c r="C26" s="77" t="str">
        <f>Customer!C32</f>
        <v>CAT 21</v>
      </c>
      <c r="F26" s="267">
        <f>Customer!F32</f>
        <v>0</v>
      </c>
      <c r="G26" s="267">
        <f>Customer!G32</f>
        <v>0</v>
      </c>
      <c r="H26" s="250">
        <f>Customer!K32</f>
        <v>0</v>
      </c>
      <c r="I26" s="250">
        <f>Customer!L32</f>
        <v>0</v>
      </c>
      <c r="J26" s="250">
        <f>Customer!J32</f>
        <v>0</v>
      </c>
      <c r="K26" s="210">
        <f t="shared" si="0"/>
        <v>0</v>
      </c>
      <c r="L26" s="210">
        <f t="shared" si="1"/>
        <v>0</v>
      </c>
      <c r="M26" s="210">
        <f t="shared" si="2"/>
        <v>0</v>
      </c>
      <c r="N26" s="210">
        <f t="shared" si="6"/>
        <v>0</v>
      </c>
      <c r="O26" s="210">
        <f>Customer!AD32</f>
        <v>0</v>
      </c>
      <c r="P26" s="210">
        <f>Customer!AE32</f>
        <v>0</v>
      </c>
      <c r="Q26" s="210">
        <f>Customer!AF32</f>
        <v>0</v>
      </c>
      <c r="R26" s="268">
        <f t="shared" si="7"/>
        <v>0</v>
      </c>
      <c r="S26" s="273" t="str">
        <f t="shared" si="8"/>
        <v>--</v>
      </c>
      <c r="T26" s="273" t="str">
        <f t="shared" si="3"/>
        <v>--</v>
      </c>
      <c r="U26" s="273" t="str">
        <f t="shared" si="4"/>
        <v>--</v>
      </c>
      <c r="V26" s="274" t="str">
        <f t="shared" si="5"/>
        <v>--</v>
      </c>
      <c r="AB26" s="263" cm="1">
        <f t="array" ref="AB26">IFERROR(_xlfn.XLOOKUP($F26,V.Realloc!$K$107:$K$108,_xlfn.XLOOKUP($G26,V.Realloc!$L$106:$N$106,V.Realloc!$L$107:$N$108)),0)</f>
        <v>0</v>
      </c>
      <c r="AC26" s="264" cm="1">
        <f t="array" ref="AC26">IFERROR(_xlfn.XLOOKUP($F26,V.Realloc!$P$107:$P$108,_xlfn.XLOOKUP($G26,V.Realloc!$Q$106:$S$106,V.Realloc!$Q$107:$S$108)),0)</f>
        <v>0</v>
      </c>
      <c r="AD26" s="264" cm="1">
        <f t="array" ref="AD26">IFERROR(_xlfn.XLOOKUP($F26,V.Realloc!$U$107:$U$108,_xlfn.XLOOKUP($G26,V.Realloc!$V$106:$X$106,V.Realloc!$V$107:$X$108)),0)</f>
        <v>0</v>
      </c>
    </row>
    <row r="27" spans="2:30" x14ac:dyDescent="0.25">
      <c r="B27" s="1">
        <v>22</v>
      </c>
      <c r="C27" s="77" t="str">
        <f>Customer!C33</f>
        <v>CAT 22</v>
      </c>
      <c r="F27" s="267">
        <f>Customer!F33</f>
        <v>0</v>
      </c>
      <c r="G27" s="267">
        <f>Customer!G33</f>
        <v>0</v>
      </c>
      <c r="H27" s="250">
        <f>Customer!K33</f>
        <v>0</v>
      </c>
      <c r="I27" s="250">
        <f>Customer!L33</f>
        <v>0</v>
      </c>
      <c r="J27" s="250">
        <f>Customer!J33</f>
        <v>0</v>
      </c>
      <c r="K27" s="210">
        <f t="shared" si="0"/>
        <v>0</v>
      </c>
      <c r="L27" s="210">
        <f t="shared" si="1"/>
        <v>0</v>
      </c>
      <c r="M27" s="210">
        <f t="shared" si="2"/>
        <v>0</v>
      </c>
      <c r="N27" s="210">
        <f t="shared" si="6"/>
        <v>0</v>
      </c>
      <c r="O27" s="210">
        <f>Customer!AD33</f>
        <v>0</v>
      </c>
      <c r="P27" s="210">
        <f>Customer!AE33</f>
        <v>0</v>
      </c>
      <c r="Q27" s="210">
        <f>Customer!AF33</f>
        <v>0</v>
      </c>
      <c r="R27" s="268">
        <f t="shared" si="7"/>
        <v>0</v>
      </c>
      <c r="S27" s="273" t="str">
        <f t="shared" si="8"/>
        <v>--</v>
      </c>
      <c r="T27" s="273" t="str">
        <f t="shared" si="3"/>
        <v>--</v>
      </c>
      <c r="U27" s="273" t="str">
        <f t="shared" si="4"/>
        <v>--</v>
      </c>
      <c r="V27" s="274" t="str">
        <f t="shared" si="5"/>
        <v>--</v>
      </c>
      <c r="AB27" s="263" cm="1">
        <f t="array" ref="AB27">IFERROR(_xlfn.XLOOKUP($F27,V.Realloc!$K$107:$K$108,_xlfn.XLOOKUP($G27,V.Realloc!$L$106:$N$106,V.Realloc!$L$107:$N$108)),0)</f>
        <v>0</v>
      </c>
      <c r="AC27" s="264" cm="1">
        <f t="array" ref="AC27">IFERROR(_xlfn.XLOOKUP($F27,V.Realloc!$P$107:$P$108,_xlfn.XLOOKUP($G27,V.Realloc!$Q$106:$S$106,V.Realloc!$Q$107:$S$108)),0)</f>
        <v>0</v>
      </c>
      <c r="AD27" s="264" cm="1">
        <f t="array" ref="AD27">IFERROR(_xlfn.XLOOKUP($F27,V.Realloc!$U$107:$U$108,_xlfn.XLOOKUP($G27,V.Realloc!$V$106:$X$106,V.Realloc!$V$107:$X$108)),0)</f>
        <v>0</v>
      </c>
    </row>
    <row r="28" spans="2:30" x14ac:dyDescent="0.25">
      <c r="B28" s="1">
        <v>23</v>
      </c>
      <c r="C28" s="77" t="str">
        <f>Customer!C34</f>
        <v>CAT 23</v>
      </c>
      <c r="F28" s="267">
        <f>Customer!F34</f>
        <v>0</v>
      </c>
      <c r="G28" s="267">
        <f>Customer!G34</f>
        <v>0</v>
      </c>
      <c r="H28" s="250">
        <f>Customer!K34</f>
        <v>0</v>
      </c>
      <c r="I28" s="250">
        <f>Customer!L34</f>
        <v>0</v>
      </c>
      <c r="J28" s="250">
        <f>Customer!J34</f>
        <v>0</v>
      </c>
      <c r="K28" s="210">
        <f t="shared" si="0"/>
        <v>0</v>
      </c>
      <c r="L28" s="210">
        <f t="shared" si="1"/>
        <v>0</v>
      </c>
      <c r="M28" s="210">
        <f t="shared" si="2"/>
        <v>0</v>
      </c>
      <c r="N28" s="210">
        <f t="shared" si="6"/>
        <v>0</v>
      </c>
      <c r="O28" s="210">
        <f>Customer!AD34</f>
        <v>0</v>
      </c>
      <c r="P28" s="210">
        <f>Customer!AE34</f>
        <v>0</v>
      </c>
      <c r="Q28" s="210">
        <f>Customer!AF34</f>
        <v>0</v>
      </c>
      <c r="R28" s="268">
        <f t="shared" si="7"/>
        <v>0</v>
      </c>
      <c r="S28" s="273" t="str">
        <f t="shared" si="8"/>
        <v>--</v>
      </c>
      <c r="T28" s="273" t="str">
        <f t="shared" si="3"/>
        <v>--</v>
      </c>
      <c r="U28" s="273" t="str">
        <f t="shared" si="4"/>
        <v>--</v>
      </c>
      <c r="V28" s="274" t="str">
        <f t="shared" si="5"/>
        <v>--</v>
      </c>
      <c r="AB28" s="263" cm="1">
        <f t="array" ref="AB28">IFERROR(_xlfn.XLOOKUP($F28,V.Realloc!$K$107:$K$108,_xlfn.XLOOKUP($G28,V.Realloc!$L$106:$N$106,V.Realloc!$L$107:$N$108)),0)</f>
        <v>0</v>
      </c>
      <c r="AC28" s="264" cm="1">
        <f t="array" ref="AC28">IFERROR(_xlfn.XLOOKUP($F28,V.Realloc!$P$107:$P$108,_xlfn.XLOOKUP($G28,V.Realloc!$Q$106:$S$106,V.Realloc!$Q$107:$S$108)),0)</f>
        <v>0</v>
      </c>
      <c r="AD28" s="264" cm="1">
        <f t="array" ref="AD28">IFERROR(_xlfn.XLOOKUP($F28,V.Realloc!$U$107:$U$108,_xlfn.XLOOKUP($G28,V.Realloc!$V$106:$X$106,V.Realloc!$V$107:$X$108)),0)</f>
        <v>0</v>
      </c>
    </row>
    <row r="29" spans="2:30" x14ac:dyDescent="0.25">
      <c r="B29" s="1">
        <v>24</v>
      </c>
      <c r="C29" s="77" t="str">
        <f>Customer!C35</f>
        <v>CAT 24</v>
      </c>
      <c r="F29" s="267">
        <f>Customer!F35</f>
        <v>0</v>
      </c>
      <c r="G29" s="267">
        <f>Customer!G35</f>
        <v>0</v>
      </c>
      <c r="H29" s="250">
        <f>Customer!K35</f>
        <v>0</v>
      </c>
      <c r="I29" s="250">
        <f>Customer!L35</f>
        <v>0</v>
      </c>
      <c r="J29" s="250">
        <f>Customer!J35</f>
        <v>0</v>
      </c>
      <c r="K29" s="210">
        <f t="shared" si="0"/>
        <v>0</v>
      </c>
      <c r="L29" s="210">
        <f t="shared" si="1"/>
        <v>0</v>
      </c>
      <c r="M29" s="210">
        <f t="shared" si="2"/>
        <v>0</v>
      </c>
      <c r="N29" s="210">
        <f t="shared" si="6"/>
        <v>0</v>
      </c>
      <c r="O29" s="210">
        <f>Customer!AD35</f>
        <v>0</v>
      </c>
      <c r="P29" s="210">
        <f>Customer!AE35</f>
        <v>0</v>
      </c>
      <c r="Q29" s="210">
        <f>Customer!AF35</f>
        <v>0</v>
      </c>
      <c r="R29" s="268">
        <f t="shared" si="7"/>
        <v>0</v>
      </c>
      <c r="S29" s="273" t="str">
        <f t="shared" si="8"/>
        <v>--</v>
      </c>
      <c r="T29" s="273" t="str">
        <f t="shared" si="3"/>
        <v>--</v>
      </c>
      <c r="U29" s="273" t="str">
        <f t="shared" si="4"/>
        <v>--</v>
      </c>
      <c r="V29" s="274" t="str">
        <f t="shared" si="5"/>
        <v>--</v>
      </c>
      <c r="AB29" s="263" cm="1">
        <f t="array" ref="AB29">IFERROR(_xlfn.XLOOKUP($F29,V.Realloc!$K$107:$K$108,_xlfn.XLOOKUP($G29,V.Realloc!$L$106:$N$106,V.Realloc!$L$107:$N$108)),0)</f>
        <v>0</v>
      </c>
      <c r="AC29" s="264" cm="1">
        <f t="array" ref="AC29">IFERROR(_xlfn.XLOOKUP($F29,V.Realloc!$P$107:$P$108,_xlfn.XLOOKUP($G29,V.Realloc!$Q$106:$S$106,V.Realloc!$Q$107:$S$108)),0)</f>
        <v>0</v>
      </c>
      <c r="AD29" s="264" cm="1">
        <f t="array" ref="AD29">IFERROR(_xlfn.XLOOKUP($F29,V.Realloc!$U$107:$U$108,_xlfn.XLOOKUP($G29,V.Realloc!$V$106:$X$106,V.Realloc!$V$107:$X$108)),0)</f>
        <v>0</v>
      </c>
    </row>
    <row r="30" spans="2:30" x14ac:dyDescent="0.25">
      <c r="B30" s="1">
        <v>25</v>
      </c>
      <c r="C30" s="77" t="str">
        <f>Customer!C36</f>
        <v>CAT 25</v>
      </c>
      <c r="F30" s="267">
        <f>Customer!F36</f>
        <v>0</v>
      </c>
      <c r="G30" s="267">
        <f>Customer!G36</f>
        <v>0</v>
      </c>
      <c r="H30" s="250">
        <f>Customer!K36</f>
        <v>0</v>
      </c>
      <c r="I30" s="250">
        <f>Customer!L36</f>
        <v>0</v>
      </c>
      <c r="J30" s="250">
        <f>Customer!J36</f>
        <v>0</v>
      </c>
      <c r="K30" s="210">
        <f t="shared" si="0"/>
        <v>0</v>
      </c>
      <c r="L30" s="210">
        <f t="shared" si="1"/>
        <v>0</v>
      </c>
      <c r="M30" s="210">
        <f t="shared" si="2"/>
        <v>0</v>
      </c>
      <c r="N30" s="210">
        <f t="shared" si="6"/>
        <v>0</v>
      </c>
      <c r="O30" s="210">
        <f>Customer!AD36</f>
        <v>0</v>
      </c>
      <c r="P30" s="210">
        <f>Customer!AE36</f>
        <v>0</v>
      </c>
      <c r="Q30" s="210">
        <f>Customer!AF36</f>
        <v>0</v>
      </c>
      <c r="R30" s="268">
        <f t="shared" si="7"/>
        <v>0</v>
      </c>
      <c r="S30" s="273" t="str">
        <f t="shared" si="8"/>
        <v>--</v>
      </c>
      <c r="T30" s="273" t="str">
        <f t="shared" si="3"/>
        <v>--</v>
      </c>
      <c r="U30" s="273" t="str">
        <f t="shared" si="4"/>
        <v>--</v>
      </c>
      <c r="V30" s="274" t="str">
        <f t="shared" si="5"/>
        <v>--</v>
      </c>
      <c r="AB30" s="263" cm="1">
        <f t="array" ref="AB30">IFERROR(_xlfn.XLOOKUP($F30,V.Realloc!$K$107:$K$108,_xlfn.XLOOKUP($G30,V.Realloc!$L$106:$N$106,V.Realloc!$L$107:$N$108)),0)</f>
        <v>0</v>
      </c>
      <c r="AC30" s="264" cm="1">
        <f t="array" ref="AC30">IFERROR(_xlfn.XLOOKUP($F30,V.Realloc!$P$107:$P$108,_xlfn.XLOOKUP($G30,V.Realloc!$Q$106:$S$106,V.Realloc!$Q$107:$S$108)),0)</f>
        <v>0</v>
      </c>
      <c r="AD30" s="264" cm="1">
        <f t="array" ref="AD30">IFERROR(_xlfn.XLOOKUP($F30,V.Realloc!$U$107:$U$108,_xlfn.XLOOKUP($G30,V.Realloc!$V$106:$X$106,V.Realloc!$V$107:$X$108)),0)</f>
        <v>0</v>
      </c>
    </row>
    <row r="31" spans="2:30" x14ac:dyDescent="0.25">
      <c r="B31" s="1">
        <v>26</v>
      </c>
      <c r="C31" s="77" t="str">
        <f>Customer!C37</f>
        <v>CAT 26</v>
      </c>
      <c r="F31" s="267">
        <f>Customer!F37</f>
        <v>0</v>
      </c>
      <c r="G31" s="267">
        <f>Customer!G37</f>
        <v>0</v>
      </c>
      <c r="H31" s="250">
        <f>Customer!K37</f>
        <v>0</v>
      </c>
      <c r="I31" s="250">
        <f>Customer!L37</f>
        <v>0</v>
      </c>
      <c r="J31" s="250">
        <f>Customer!J37</f>
        <v>0</v>
      </c>
      <c r="K31" s="210">
        <f t="shared" si="0"/>
        <v>0</v>
      </c>
      <c r="L31" s="210">
        <f t="shared" si="1"/>
        <v>0</v>
      </c>
      <c r="M31" s="210">
        <f t="shared" si="2"/>
        <v>0</v>
      </c>
      <c r="N31" s="210">
        <f t="shared" si="6"/>
        <v>0</v>
      </c>
      <c r="O31" s="210">
        <f>Customer!AD37</f>
        <v>0</v>
      </c>
      <c r="P31" s="210">
        <f>Customer!AE37</f>
        <v>0</v>
      </c>
      <c r="Q31" s="210">
        <f>Customer!AF37</f>
        <v>0</v>
      </c>
      <c r="R31" s="268">
        <f t="shared" si="7"/>
        <v>0</v>
      </c>
      <c r="S31" s="273" t="str">
        <f t="shared" si="8"/>
        <v>--</v>
      </c>
      <c r="T31" s="273" t="str">
        <f t="shared" si="3"/>
        <v>--</v>
      </c>
      <c r="U31" s="273" t="str">
        <f t="shared" si="4"/>
        <v>--</v>
      </c>
      <c r="V31" s="274" t="str">
        <f t="shared" si="5"/>
        <v>--</v>
      </c>
      <c r="AB31" s="263" cm="1">
        <f t="array" ref="AB31">IFERROR(_xlfn.XLOOKUP($F31,V.Realloc!$K$107:$K$108,_xlfn.XLOOKUP($G31,V.Realloc!$L$106:$N$106,V.Realloc!$L$107:$N$108)),0)</f>
        <v>0</v>
      </c>
      <c r="AC31" s="264" cm="1">
        <f t="array" ref="AC31">IFERROR(_xlfn.XLOOKUP($F31,V.Realloc!$P$107:$P$108,_xlfn.XLOOKUP($G31,V.Realloc!$Q$106:$S$106,V.Realloc!$Q$107:$S$108)),0)</f>
        <v>0</v>
      </c>
      <c r="AD31" s="264" cm="1">
        <f t="array" ref="AD31">IFERROR(_xlfn.XLOOKUP($F31,V.Realloc!$U$107:$U$108,_xlfn.XLOOKUP($G31,V.Realloc!$V$106:$X$106,V.Realloc!$V$107:$X$108)),0)</f>
        <v>0</v>
      </c>
    </row>
    <row r="32" spans="2:30" x14ac:dyDescent="0.25">
      <c r="B32" s="1">
        <v>27</v>
      </c>
      <c r="C32" s="77" t="str">
        <f>Customer!C38</f>
        <v>CAT 27</v>
      </c>
      <c r="F32" s="267">
        <f>Customer!F38</f>
        <v>0</v>
      </c>
      <c r="G32" s="267">
        <f>Customer!G38</f>
        <v>0</v>
      </c>
      <c r="H32" s="250">
        <f>Customer!K38</f>
        <v>0</v>
      </c>
      <c r="I32" s="250">
        <f>Customer!L38</f>
        <v>0</v>
      </c>
      <c r="J32" s="250">
        <f>Customer!J38</f>
        <v>0</v>
      </c>
      <c r="K32" s="210">
        <f t="shared" si="0"/>
        <v>0</v>
      </c>
      <c r="L32" s="210">
        <f t="shared" si="1"/>
        <v>0</v>
      </c>
      <c r="M32" s="210">
        <f t="shared" si="2"/>
        <v>0</v>
      </c>
      <c r="N32" s="210">
        <f t="shared" si="6"/>
        <v>0</v>
      </c>
      <c r="O32" s="210">
        <f>Customer!AD38</f>
        <v>0</v>
      </c>
      <c r="P32" s="210">
        <f>Customer!AE38</f>
        <v>0</v>
      </c>
      <c r="Q32" s="210">
        <f>Customer!AF38</f>
        <v>0</v>
      </c>
      <c r="R32" s="268">
        <f t="shared" si="7"/>
        <v>0</v>
      </c>
      <c r="S32" s="273" t="str">
        <f t="shared" si="8"/>
        <v>--</v>
      </c>
      <c r="T32" s="273" t="str">
        <f t="shared" si="3"/>
        <v>--</v>
      </c>
      <c r="U32" s="273" t="str">
        <f t="shared" si="4"/>
        <v>--</v>
      </c>
      <c r="V32" s="274" t="str">
        <f t="shared" si="5"/>
        <v>--</v>
      </c>
      <c r="AB32" s="263" cm="1">
        <f t="array" ref="AB32">IFERROR(_xlfn.XLOOKUP($F32,V.Realloc!$K$107:$K$108,_xlfn.XLOOKUP($G32,V.Realloc!$L$106:$N$106,V.Realloc!$L$107:$N$108)),0)</f>
        <v>0</v>
      </c>
      <c r="AC32" s="264" cm="1">
        <f t="array" ref="AC32">IFERROR(_xlfn.XLOOKUP($F32,V.Realloc!$P$107:$P$108,_xlfn.XLOOKUP($G32,V.Realloc!$Q$106:$S$106,V.Realloc!$Q$107:$S$108)),0)</f>
        <v>0</v>
      </c>
      <c r="AD32" s="264" cm="1">
        <f t="array" ref="AD32">IFERROR(_xlfn.XLOOKUP($F32,V.Realloc!$U$107:$U$108,_xlfn.XLOOKUP($G32,V.Realloc!$V$106:$X$106,V.Realloc!$V$107:$X$108)),0)</f>
        <v>0</v>
      </c>
    </row>
    <row r="33" spans="2:30" x14ac:dyDescent="0.25">
      <c r="B33" s="1">
        <v>28</v>
      </c>
      <c r="C33" s="77" t="str">
        <f>Customer!C39</f>
        <v>CAT 28</v>
      </c>
      <c r="F33" s="267">
        <f>Customer!F39</f>
        <v>0</v>
      </c>
      <c r="G33" s="267">
        <f>Customer!G39</f>
        <v>0</v>
      </c>
      <c r="H33" s="250">
        <f>Customer!K39</f>
        <v>0</v>
      </c>
      <c r="I33" s="250">
        <f>Customer!L39</f>
        <v>0</v>
      </c>
      <c r="J33" s="250">
        <f>Customer!J39</f>
        <v>0</v>
      </c>
      <c r="K33" s="210">
        <f t="shared" si="0"/>
        <v>0</v>
      </c>
      <c r="L33" s="210">
        <f t="shared" si="1"/>
        <v>0</v>
      </c>
      <c r="M33" s="210">
        <f t="shared" si="2"/>
        <v>0</v>
      </c>
      <c r="N33" s="210">
        <f t="shared" si="6"/>
        <v>0</v>
      </c>
      <c r="O33" s="210">
        <f>Customer!AD39</f>
        <v>0</v>
      </c>
      <c r="P33" s="210">
        <f>Customer!AE39</f>
        <v>0</v>
      </c>
      <c r="Q33" s="210">
        <f>Customer!AF39</f>
        <v>0</v>
      </c>
      <c r="R33" s="268">
        <f t="shared" si="7"/>
        <v>0</v>
      </c>
      <c r="S33" s="273" t="str">
        <f t="shared" si="8"/>
        <v>--</v>
      </c>
      <c r="T33" s="273" t="str">
        <f t="shared" si="3"/>
        <v>--</v>
      </c>
      <c r="U33" s="273" t="str">
        <f t="shared" si="4"/>
        <v>--</v>
      </c>
      <c r="V33" s="274" t="str">
        <f t="shared" si="5"/>
        <v>--</v>
      </c>
      <c r="AB33" s="263" cm="1">
        <f t="array" ref="AB33">IFERROR(_xlfn.XLOOKUP($F33,V.Realloc!$K$107:$K$108,_xlfn.XLOOKUP($G33,V.Realloc!$L$106:$N$106,V.Realloc!$L$107:$N$108)),0)</f>
        <v>0</v>
      </c>
      <c r="AC33" s="264" cm="1">
        <f t="array" ref="AC33">IFERROR(_xlfn.XLOOKUP($F33,V.Realloc!$P$107:$P$108,_xlfn.XLOOKUP($G33,V.Realloc!$Q$106:$S$106,V.Realloc!$Q$107:$S$108)),0)</f>
        <v>0</v>
      </c>
      <c r="AD33" s="264" cm="1">
        <f t="array" ref="AD33">IFERROR(_xlfn.XLOOKUP($F33,V.Realloc!$U$107:$U$108,_xlfn.XLOOKUP($G33,V.Realloc!$V$106:$X$106,V.Realloc!$V$107:$X$108)),0)</f>
        <v>0</v>
      </c>
    </row>
    <row r="34" spans="2:30" x14ac:dyDescent="0.25">
      <c r="B34" s="1">
        <v>29</v>
      </c>
      <c r="C34" s="77" t="str">
        <f>Customer!C40</f>
        <v>CAT 29</v>
      </c>
      <c r="F34" s="267">
        <f>Customer!F40</f>
        <v>0</v>
      </c>
      <c r="G34" s="267">
        <f>Customer!G40</f>
        <v>0</v>
      </c>
      <c r="H34" s="250">
        <f>Customer!K40</f>
        <v>0</v>
      </c>
      <c r="I34" s="250">
        <f>Customer!L40</f>
        <v>0</v>
      </c>
      <c r="J34" s="250">
        <f>Customer!J40</f>
        <v>0</v>
      </c>
      <c r="K34" s="210">
        <f t="shared" si="0"/>
        <v>0</v>
      </c>
      <c r="L34" s="210">
        <f t="shared" si="1"/>
        <v>0</v>
      </c>
      <c r="M34" s="210">
        <f t="shared" si="2"/>
        <v>0</v>
      </c>
      <c r="N34" s="210">
        <f t="shared" si="6"/>
        <v>0</v>
      </c>
      <c r="O34" s="210">
        <f>Customer!AD40</f>
        <v>0</v>
      </c>
      <c r="P34" s="210">
        <f>Customer!AE40</f>
        <v>0</v>
      </c>
      <c r="Q34" s="210">
        <f>Customer!AF40</f>
        <v>0</v>
      </c>
      <c r="R34" s="268">
        <f t="shared" si="7"/>
        <v>0</v>
      </c>
      <c r="S34" s="273" t="str">
        <f t="shared" si="8"/>
        <v>--</v>
      </c>
      <c r="T34" s="273" t="str">
        <f t="shared" si="3"/>
        <v>--</v>
      </c>
      <c r="U34" s="273" t="str">
        <f t="shared" si="4"/>
        <v>--</v>
      </c>
      <c r="V34" s="274" t="str">
        <f t="shared" si="5"/>
        <v>--</v>
      </c>
      <c r="AB34" s="263" cm="1">
        <f t="array" ref="AB34">IFERROR(_xlfn.XLOOKUP($F34,V.Realloc!$K$107:$K$108,_xlfn.XLOOKUP($G34,V.Realloc!$L$106:$N$106,V.Realloc!$L$107:$N$108)),0)</f>
        <v>0</v>
      </c>
      <c r="AC34" s="264" cm="1">
        <f t="array" ref="AC34">IFERROR(_xlfn.XLOOKUP($F34,V.Realloc!$P$107:$P$108,_xlfn.XLOOKUP($G34,V.Realloc!$Q$106:$S$106,V.Realloc!$Q$107:$S$108)),0)</f>
        <v>0</v>
      </c>
      <c r="AD34" s="264" cm="1">
        <f t="array" ref="AD34">IFERROR(_xlfn.XLOOKUP($F34,V.Realloc!$U$107:$U$108,_xlfn.XLOOKUP($G34,V.Realloc!$V$106:$X$106,V.Realloc!$V$107:$X$108)),0)</f>
        <v>0</v>
      </c>
    </row>
    <row r="35" spans="2:30" x14ac:dyDescent="0.25">
      <c r="B35" s="1">
        <v>30</v>
      </c>
      <c r="C35" s="77" t="str">
        <f>Customer!C41</f>
        <v>CAT 30</v>
      </c>
      <c r="F35" s="267">
        <f>Customer!F41</f>
        <v>0</v>
      </c>
      <c r="G35" s="267">
        <f>Customer!G41</f>
        <v>0</v>
      </c>
      <c r="H35" s="250">
        <f>Customer!K41</f>
        <v>0</v>
      </c>
      <c r="I35" s="250">
        <f>Customer!L41</f>
        <v>0</v>
      </c>
      <c r="J35" s="250">
        <f>Customer!J41</f>
        <v>0</v>
      </c>
      <c r="K35" s="210">
        <f t="shared" si="0"/>
        <v>0</v>
      </c>
      <c r="L35" s="210">
        <f t="shared" si="1"/>
        <v>0</v>
      </c>
      <c r="M35" s="210">
        <f t="shared" si="2"/>
        <v>0</v>
      </c>
      <c r="N35" s="210">
        <f t="shared" si="6"/>
        <v>0</v>
      </c>
      <c r="O35" s="210">
        <f>Customer!AD41</f>
        <v>0</v>
      </c>
      <c r="P35" s="210">
        <f>Customer!AE41</f>
        <v>0</v>
      </c>
      <c r="Q35" s="210">
        <f>Customer!AF41</f>
        <v>0</v>
      </c>
      <c r="R35" s="268">
        <f t="shared" si="7"/>
        <v>0</v>
      </c>
      <c r="S35" s="273" t="str">
        <f t="shared" si="8"/>
        <v>--</v>
      </c>
      <c r="T35" s="273" t="str">
        <f t="shared" si="3"/>
        <v>--</v>
      </c>
      <c r="U35" s="273" t="str">
        <f t="shared" si="4"/>
        <v>--</v>
      </c>
      <c r="V35" s="274" t="str">
        <f t="shared" si="5"/>
        <v>--</v>
      </c>
      <c r="AB35" s="263" cm="1">
        <f t="array" ref="AB35">IFERROR(_xlfn.XLOOKUP($F35,V.Realloc!$K$107:$K$108,_xlfn.XLOOKUP($G35,V.Realloc!$L$106:$N$106,V.Realloc!$L$107:$N$108)),0)</f>
        <v>0</v>
      </c>
      <c r="AC35" s="264" cm="1">
        <f t="array" ref="AC35">IFERROR(_xlfn.XLOOKUP($F35,V.Realloc!$P$107:$P$108,_xlfn.XLOOKUP($G35,V.Realloc!$Q$106:$S$106,V.Realloc!$Q$107:$S$108)),0)</f>
        <v>0</v>
      </c>
      <c r="AD35" s="264" cm="1">
        <f t="array" ref="AD35">IFERROR(_xlfn.XLOOKUP($F35,V.Realloc!$U$107:$U$108,_xlfn.XLOOKUP($G35,V.Realloc!$V$106:$X$106,V.Realloc!$V$107:$X$108)),0)</f>
        <v>0</v>
      </c>
    </row>
    <row r="36" spans="2:30" x14ac:dyDescent="0.25">
      <c r="B36" s="120" t="s">
        <v>51</v>
      </c>
      <c r="C36" s="121" t="e">
        <f>D37=[1]X37!C42</f>
        <v>#REF!</v>
      </c>
      <c r="D36" s="122"/>
      <c r="E36" s="122"/>
      <c r="F36" s="269">
        <f>Customer!F42</f>
        <v>0</v>
      </c>
      <c r="G36" s="269">
        <f>Customer!G42</f>
        <v>0</v>
      </c>
      <c r="H36" s="270">
        <f>Customer!K42</f>
        <v>0</v>
      </c>
      <c r="I36" s="270">
        <f>Customer!L42</f>
        <v>0</v>
      </c>
      <c r="J36" s="270">
        <f>Customer!J42</f>
        <v>0</v>
      </c>
      <c r="K36" s="271">
        <f t="shared" si="0"/>
        <v>0</v>
      </c>
      <c r="L36" s="271">
        <f t="shared" si="1"/>
        <v>0</v>
      </c>
      <c r="M36" s="271">
        <f t="shared" si="2"/>
        <v>0</v>
      </c>
      <c r="N36" s="271">
        <f t="shared" si="6"/>
        <v>0</v>
      </c>
      <c r="O36" s="271">
        <f>Customer!AD42</f>
        <v>0</v>
      </c>
      <c r="P36" s="271">
        <f>Customer!AE42</f>
        <v>0</v>
      </c>
      <c r="Q36" s="271">
        <f>Customer!AF42</f>
        <v>0</v>
      </c>
      <c r="R36" s="272">
        <f t="shared" si="7"/>
        <v>0</v>
      </c>
      <c r="S36" s="275" t="str">
        <f t="shared" si="8"/>
        <v>--</v>
      </c>
      <c r="T36" s="275" t="str">
        <f t="shared" si="3"/>
        <v>--</v>
      </c>
      <c r="U36" s="275" t="str">
        <f t="shared" si="4"/>
        <v>--</v>
      </c>
      <c r="V36" s="276" t="str">
        <f t="shared" si="5"/>
        <v>--</v>
      </c>
      <c r="AB36" s="263" cm="1">
        <f t="array" ref="AB36">IFERROR(_xlfn.XLOOKUP($F36,V.Realloc!$K$107:$K$108,_xlfn.XLOOKUP($G36,V.Realloc!$L$106:$N$106,V.Realloc!$L$107:$N$108)),0)</f>
        <v>0</v>
      </c>
      <c r="AC36" s="264" cm="1">
        <f t="array" ref="AC36">IFERROR(_xlfn.XLOOKUP($F36,V.Realloc!$P$107:$P$108,_xlfn.XLOOKUP($G36,V.Realloc!$Q$106:$S$106,V.Realloc!$Q$107:$S$108)),0)</f>
        <v>0</v>
      </c>
      <c r="AD36" s="264" cm="1">
        <f t="array" ref="AD36">IFERROR(_xlfn.XLOOKUP($F36,V.Realloc!$U$107:$U$108,_xlfn.XLOOKUP($G36,V.Realloc!$V$106:$X$106,V.Realloc!$V$107:$X$108)),0)</f>
        <v>0</v>
      </c>
    </row>
    <row r="37" spans="2:30" s="5" customFormat="1" x14ac:dyDescent="0.25">
      <c r="H37" s="7"/>
      <c r="I37" s="7"/>
      <c r="J37" s="7"/>
      <c r="K37" s="97">
        <f t="shared" ref="K37:N37" si="9">SUM(K6:K36)</f>
        <v>0</v>
      </c>
      <c r="L37" s="97">
        <f t="shared" si="9"/>
        <v>0</v>
      </c>
      <c r="M37" s="97">
        <f t="shared" si="9"/>
        <v>0</v>
      </c>
      <c r="N37" s="97">
        <f t="shared" si="9"/>
        <v>0</v>
      </c>
      <c r="O37" s="97">
        <f t="shared" ref="O37:R37" si="10">SUM(O6:O36)</f>
        <v>845.05123042000014</v>
      </c>
      <c r="P37" s="97">
        <f t="shared" si="10"/>
        <v>12.950913080000051</v>
      </c>
      <c r="Q37" s="97">
        <f t="shared" si="10"/>
        <v>188.32285649999997</v>
      </c>
      <c r="R37" s="97">
        <f t="shared" si="10"/>
        <v>1046.3250000000003</v>
      </c>
      <c r="S37" s="277" t="str">
        <f t="shared" si="8"/>
        <v>--</v>
      </c>
      <c r="T37" s="277" t="str">
        <f t="shared" si="3"/>
        <v>--</v>
      </c>
      <c r="U37" s="277" t="str">
        <f t="shared" si="4"/>
        <v>--</v>
      </c>
      <c r="V37" s="277" t="str">
        <f t="shared" si="5"/>
        <v>--</v>
      </c>
    </row>
  </sheetData>
  <mergeCells count="7">
    <mergeCell ref="O4:R4"/>
    <mergeCell ref="H4:J4"/>
    <mergeCell ref="S4:V4"/>
    <mergeCell ref="C4:E5"/>
    <mergeCell ref="F4:F5"/>
    <mergeCell ref="G4:G5"/>
    <mergeCell ref="K4:N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F3"/>
  <sheetViews>
    <sheetView showGridLines="0" zoomScale="120" zoomScaleNormal="120" workbookViewId="0">
      <selection activeCell="E6" sqref="E6"/>
    </sheetView>
  </sheetViews>
  <sheetFormatPr defaultColWidth="9.1796875" defaultRowHeight="10.5" x14ac:dyDescent="0.25"/>
  <cols>
    <col min="1" max="16384" width="9.1796875" style="1"/>
  </cols>
  <sheetData>
    <row r="2" spans="2:6" x14ac:dyDescent="0.25">
      <c r="B2" s="1" t="s">
        <v>340</v>
      </c>
    </row>
    <row r="3" spans="2:6" x14ac:dyDescent="0.25">
      <c r="B3" s="1" t="s">
        <v>341</v>
      </c>
      <c r="E3" s="5" t="str">
        <f>IF(Customer!N43&lt;&gt;1,"ERROR !!","OK")</f>
        <v>OK</v>
      </c>
      <c r="F3" s="1" t="str">
        <f>IF(E3="ERROR !!","Values in Customer sheet don’t add upto 100%","--")</f>
        <v>--</v>
      </c>
    </row>
  </sheetData>
  <conditionalFormatting sqref="E3">
    <cfRule type="containsText" dxfId="1" priority="1" operator="containsText" text="ok">
      <formula>NOT(ISERROR(SEARCH("ok",E3)))</formula>
    </cfRule>
    <cfRule type="containsText" dxfId="0" priority="2" operator="containsText" text="error">
      <formula>NOT(ISERROR(SEARCH("error",E3)))</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10.90625"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ColWidth="10.9062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Glossary</vt:lpstr>
      <vt:lpstr>ReadMe</vt:lpstr>
      <vt:lpstr>RR</vt:lpstr>
      <vt:lpstr>Customer</vt:lpstr>
      <vt:lpstr>Loss</vt:lpstr>
      <vt:lpstr>Feuil1</vt:lpstr>
      <vt:lpstr>Assets</vt:lpstr>
      <vt:lpstr>Expenses</vt:lpstr>
      <vt:lpstr>V.Realloc</vt:lpstr>
      <vt:lpstr>Output</vt:lpstr>
      <vt:lpstr>Err.Stat</vt:lpstr>
      <vt:lpstr>Feuil2</vt:lpstr>
      <vt:lpstr>Feuil3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Rohan Jadhav</dc:creator>
  <cp:lastModifiedBy>Yvonne Mambwe</cp:lastModifiedBy>
  <dcterms:created xsi:type="dcterms:W3CDTF">2015-06-05T18:17:20Z</dcterms:created>
  <dcterms:modified xsi:type="dcterms:W3CDTF">2024-12-03T13:03:08Z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dd0be-22e7-4731-ba12-4b11f4b54d4f_Enabled">
    <vt:lpwstr>true</vt:lpwstr>
  </property>
  <property fmtid="{D5CDD505-2E9C-101B-9397-08002B2CF9AE}" pid="3" name="MSIP_Label_f43dd0be-22e7-4731-ba12-4b11f4b54d4f_SetDate">
    <vt:lpwstr>2024-07-11T08:16:48Z</vt:lpwstr>
  </property>
  <property fmtid="{D5CDD505-2E9C-101B-9397-08002B2CF9AE}" pid="4" name="MSIP_Label_f43dd0be-22e7-4731-ba12-4b11f4b54d4f_Method">
    <vt:lpwstr>Privileged</vt:lpwstr>
  </property>
  <property fmtid="{D5CDD505-2E9C-101B-9397-08002B2CF9AE}" pid="5" name="MSIP_Label_f43dd0be-22e7-4731-ba12-4b11f4b54d4f_Name">
    <vt:lpwstr>External-Confidential</vt:lpwstr>
  </property>
  <property fmtid="{D5CDD505-2E9C-101B-9397-08002B2CF9AE}" pid="6" name="MSIP_Label_f43dd0be-22e7-4731-ba12-4b11f4b54d4f_SiteId">
    <vt:lpwstr>4d8b04bf-7a7c-48a0-b6e3-38da5008297e</vt:lpwstr>
  </property>
  <property fmtid="{D5CDD505-2E9C-101B-9397-08002B2CF9AE}" pid="7" name="MSIP_Label_f43dd0be-22e7-4731-ba12-4b11f4b54d4f_ActionId">
    <vt:lpwstr>722bb906-2297-443a-86b8-a36c44b51c29</vt:lpwstr>
  </property>
  <property fmtid="{D5CDD505-2E9C-101B-9397-08002B2CF9AE}" pid="8" name="MSIP_Label_f43dd0be-22e7-4731-ba12-4b11f4b54d4f_ContentBits">
    <vt:lpwstr>0</vt:lpwstr>
  </property>
</Properties>
</file>